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Mode d’emploi" sheetId="1" state="visible" r:id="rId1"/>
    <sheet xmlns:r="http://schemas.openxmlformats.org/officeDocument/2006/relationships" name="Paramètres" sheetId="2" state="visible" r:id="rId2"/>
    <sheet xmlns:r="http://schemas.openxmlformats.org/officeDocument/2006/relationships" name="Budget de fonctionnement" sheetId="3" state="visible" r:id="rId3"/>
    <sheet xmlns:r="http://schemas.openxmlformats.org/officeDocument/2006/relationships" name="Investissements et financement" sheetId="4" state="visible" r:id="rId4"/>
    <sheet xmlns:r="http://schemas.openxmlformats.org/officeDocument/2006/relationships" name="Synthèse" sheetId="5" state="visible" r:id="rId5"/>
    <sheet xmlns:r="http://schemas.openxmlformats.org/officeDocument/2006/relationships" name="Budget pour le conseil" sheetId="6" state="visible" r:id="rId6"/>
    <sheet xmlns:r="http://schemas.openxmlformats.org/officeDocument/2006/relationships" name="Résolution type" sheetId="7" state="visible" r:id="rId7"/>
  </sheets>
  <definedNames>
    <definedName name="_xlnm.Print_Area" localSheetId="5">'Budget pour le conseil'!$A$1:$D$49</definedName>
  </definedNames>
  <calcPr calcId="124519" fullCalcOnLoad="1"/>
</workbook>
</file>

<file path=xl/styles.xml><?xml version="1.0" encoding="utf-8"?>
<styleSheet xmlns="http://schemas.openxmlformats.org/spreadsheetml/2006/main">
  <numFmts count="5">
    <numFmt numFmtId="164" formatCode="#,##0 €;-#,##0 €;-"/>
    <numFmt numFmtId="165" formatCode="+#,##0 €;-#,##0 €;-"/>
    <numFmt numFmtId="166" formatCode="+0%;-0%;0%"/>
    <numFmt numFmtId="167" formatCode="+#,##0 €;-#,##0 €;0 €"/>
    <numFmt numFmtId="168" formatCode="0.0"/>
  </numFmts>
  <fonts count="14">
    <font>
      <name val="Calibri"/>
      <family val="2"/>
      <color theme="1"/>
      <sz val="11"/>
      <scheme val="minor"/>
    </font>
    <font>
      <name val="Arial"/>
      <b val="1"/>
      <color rgb="00B37F12"/>
      <sz val="9"/>
    </font>
    <font>
      <name val="Arial"/>
      <b val="1"/>
      <color rgb="00082B50"/>
      <sz val="16"/>
    </font>
    <font>
      <name val="Arial"/>
      <color rgb="006B7280"/>
      <sz val="10"/>
    </font>
    <font>
      <name val="Arial"/>
      <i val="1"/>
      <color rgb="006B7280"/>
      <sz val="9"/>
    </font>
    <font>
      <name val="Arial"/>
      <b val="1"/>
      <color rgb="00082B50"/>
      <sz val="10"/>
    </font>
    <font>
      <name val="Arial"/>
      <sz val="10"/>
    </font>
    <font>
      <name val="Arial"/>
      <i val="1"/>
      <color rgb="006B7280"/>
      <sz val="8"/>
    </font>
    <font>
      <name val="Arial"/>
      <color rgb="006B7280"/>
      <sz val="8"/>
    </font>
    <font>
      <name val="Arial"/>
      <b val="1"/>
      <sz val="10"/>
    </font>
    <font>
      <name val="Arial"/>
      <i val="1"/>
      <color rgb="006B7280"/>
      <sz val="10"/>
    </font>
    <font>
      <name val="Arial"/>
      <b val="1"/>
      <color rgb="00082B50"/>
      <sz val="11"/>
    </font>
    <font>
      <name val="Arial"/>
      <b val="1"/>
      <color rgb="00FFFFFF"/>
      <sz val="10"/>
    </font>
    <font>
      <name val="Arial"/>
      <b val="1"/>
      <color rgb="00082B50"/>
      <sz val="13"/>
    </font>
  </fonts>
  <fills count="6">
    <fill>
      <patternFill/>
    </fill>
    <fill>
      <patternFill patternType="gray125"/>
    </fill>
    <fill>
      <patternFill patternType="solid">
        <fgColor rgb="00FFF9DB"/>
      </patternFill>
    </fill>
    <fill>
      <patternFill patternType="solid">
        <fgColor rgb="000B3A6E"/>
      </patternFill>
    </fill>
    <fill>
      <patternFill patternType="solid">
        <fgColor rgb="00E6EEF8"/>
      </patternFill>
    </fill>
    <fill>
      <patternFill patternType="solid">
        <fgColor rgb="00F6F8FA"/>
      </patternFill>
    </fill>
  </fills>
  <borders count="5">
    <border>
      <left/>
      <right/>
      <top/>
      <bottom/>
      <diagonal/>
    </border>
    <border>
      <left style="thin">
        <color rgb="00D1D5DB"/>
      </left>
      <right style="thin">
        <color rgb="00D1D5DB"/>
      </right>
      <top style="thin">
        <color rgb="00D1D5DB"/>
      </top>
      <bottom style="thin">
        <color rgb="00D1D5DB"/>
      </bottom>
    </border>
    <border>
      <left/>
      <right/>
      <top style="thin">
        <color rgb="00D1D5DB"/>
      </top>
      <bottom/>
      <diagonal/>
    </border>
    <border>
      <left/>
      <right style="thin">
        <color rgb="00D1D5DB"/>
      </right>
      <top style="thin">
        <color rgb="00D1D5DB"/>
      </top>
      <bottom/>
      <diagonal/>
    </border>
    <border>
      <left/>
      <right style="thin">
        <color rgb="00D1D5DB"/>
      </right>
      <top style="thin">
        <color rgb="00D1D5DB"/>
      </top>
      <bottom style="thin">
        <color rgb="00D1D5DB"/>
      </bottom>
      <diagonal/>
    </border>
  </borders>
  <cellStyleXfs count="1">
    <xf numFmtId="0" fontId="0" fillId="0" borderId="0"/>
  </cellStyleXfs>
  <cellXfs count="45">
    <xf numFmtId="0" fontId="0" fillId="0" borderId="0" pivotButton="0" quotePrefix="0" xfId="0"/>
    <xf numFmtId="0" fontId="1" fillId="0" borderId="0" pivotButton="0" quotePrefix="0" xfId="0"/>
    <xf numFmtId="0" fontId="2" fillId="0" borderId="0" pivotButton="0" quotePrefix="0" xfId="0"/>
    <xf numFmtId="0" fontId="3" fillId="0" borderId="0" pivotButton="0" quotePrefix="0" xfId="0"/>
    <xf numFmtId="0" fontId="4" fillId="0" borderId="0" pivotButton="0" quotePrefix="0" xfId="0"/>
    <xf numFmtId="0" fontId="5" fillId="0" borderId="0" pivotButton="0" quotePrefix="0" xfId="0"/>
    <xf numFmtId="0" fontId="6" fillId="0" borderId="0" applyAlignment="1" pivotButton="0" quotePrefix="0" xfId="0">
      <alignment vertical="top" wrapText="1"/>
    </xf>
    <xf numFmtId="0" fontId="7" fillId="0" borderId="0" pivotButton="0" quotePrefix="0" xfId="0"/>
    <xf numFmtId="0" fontId="8" fillId="0" borderId="0" pivotButton="0" quotePrefix="0" xfId="0"/>
    <xf numFmtId="0" fontId="9" fillId="0" borderId="1" applyAlignment="1" pivotButton="0" quotePrefix="0" xfId="0">
      <alignment vertical="top" wrapText="1"/>
    </xf>
    <xf numFmtId="0" fontId="10" fillId="2" borderId="1" applyAlignment="1" pivotButton="0" quotePrefix="0" xfId="0">
      <alignment vertical="top" wrapText="1"/>
    </xf>
    <xf numFmtId="1" fontId="10" fillId="2" borderId="1" applyAlignment="1" pivotButton="0" quotePrefix="0" xfId="0">
      <alignment vertical="top" wrapText="1"/>
    </xf>
    <xf numFmtId="1" fontId="9" fillId="0" borderId="1" applyAlignment="1" pivotButton="0" quotePrefix="0" xfId="0">
      <alignment vertical="top" wrapText="1"/>
    </xf>
    <xf numFmtId="164" fontId="10" fillId="2" borderId="1" applyAlignment="1" pivotButton="0" quotePrefix="0" xfId="0">
      <alignment vertical="top" wrapText="1"/>
    </xf>
    <xf numFmtId="9" fontId="10" fillId="2" borderId="1" applyAlignment="1" pivotButton="0" quotePrefix="0" xfId="0">
      <alignment vertical="top" wrapText="1"/>
    </xf>
    <xf numFmtId="0" fontId="11" fillId="0" borderId="1" applyAlignment="1" pivotButton="0" quotePrefix="0" xfId="0">
      <alignment vertical="top" wrapText="1"/>
    </xf>
    <xf numFmtId="0" fontId="12" fillId="3" borderId="1" applyAlignment="1" pivotButton="0" quotePrefix="0" xfId="0">
      <alignment vertical="center" wrapText="1"/>
    </xf>
    <xf numFmtId="49" fontId="6" fillId="0" borderId="1" applyAlignment="1" pivotButton="0" quotePrefix="0" xfId="0">
      <alignment vertical="top" wrapText="1"/>
    </xf>
    <xf numFmtId="0" fontId="6" fillId="0" borderId="1" applyAlignment="1" pivotButton="0" quotePrefix="0" xfId="0">
      <alignment vertical="top" wrapText="1"/>
    </xf>
    <xf numFmtId="0" fontId="11" fillId="4" borderId="1" pivotButton="0" quotePrefix="0" xfId="0"/>
    <xf numFmtId="0" fontId="0" fillId="4" borderId="1" pivotButton="0" quotePrefix="0" xfId="0"/>
    <xf numFmtId="164" fontId="6" fillId="0" borderId="1" applyAlignment="1" pivotButton="0" quotePrefix="0" xfId="0">
      <alignment vertical="top" wrapText="1"/>
    </xf>
    <xf numFmtId="165" fontId="6" fillId="0" borderId="1" applyAlignment="1" pivotButton="0" quotePrefix="0" xfId="0">
      <alignment vertical="top" wrapText="1"/>
    </xf>
    <xf numFmtId="166" fontId="6" fillId="0" borderId="1" applyAlignment="1" pivotButton="0" quotePrefix="0" xfId="0">
      <alignment vertical="top" wrapText="1"/>
    </xf>
    <xf numFmtId="0" fontId="6" fillId="2" borderId="1" applyAlignment="1" pivotButton="0" quotePrefix="0" xfId="0">
      <alignment vertical="top" wrapText="1"/>
    </xf>
    <xf numFmtId="164" fontId="6" fillId="2" borderId="1" applyAlignment="1" pivotButton="0" quotePrefix="0" xfId="0">
      <alignment vertical="top" wrapText="1"/>
    </xf>
    <xf numFmtId="164" fontId="9" fillId="4" borderId="1" applyAlignment="1" pivotButton="0" quotePrefix="0" xfId="0">
      <alignment vertical="top" wrapText="1"/>
    </xf>
    <xf numFmtId="165" fontId="9" fillId="4" borderId="1" applyAlignment="1" pivotButton="0" quotePrefix="0" xfId="0">
      <alignment vertical="top" wrapText="1"/>
    </xf>
    <xf numFmtId="166" fontId="9" fillId="4" borderId="1" applyAlignment="1" pivotButton="0" quotePrefix="0" xfId="0">
      <alignment vertical="top" wrapText="1"/>
    </xf>
    <xf numFmtId="167" fontId="11" fillId="0" borderId="1" applyAlignment="1" pivotButton="0" quotePrefix="0" xfId="0">
      <alignment vertical="top" wrapText="1"/>
    </xf>
    <xf numFmtId="167" fontId="9" fillId="0" borderId="1" applyAlignment="1" pivotButton="0" quotePrefix="0" xfId="0">
      <alignment vertical="top" wrapText="1"/>
    </xf>
    <xf numFmtId="167" fontId="6" fillId="0" borderId="1" applyAlignment="1" pivotButton="0" quotePrefix="0" xfId="0">
      <alignment vertical="top" wrapText="1"/>
    </xf>
    <xf numFmtId="0" fontId="9" fillId="5" borderId="1" applyAlignment="1" pivotButton="0" quotePrefix="0" xfId="0">
      <alignment vertical="top" wrapText="1"/>
    </xf>
    <xf numFmtId="167" fontId="9" fillId="5" borderId="1" applyAlignment="1" pivotButton="0" quotePrefix="0" xfId="0">
      <alignment vertical="top" wrapText="1"/>
    </xf>
    <xf numFmtId="168" fontId="6" fillId="0" borderId="1" applyAlignment="1" pivotButton="0" quotePrefix="0" xfId="0">
      <alignment vertical="top" wrapText="1"/>
    </xf>
    <xf numFmtId="9" fontId="6" fillId="0" borderId="1" applyAlignment="1" pivotButton="0" quotePrefix="0" xfId="0">
      <alignment vertical="top" wrapText="1"/>
    </xf>
    <xf numFmtId="1" fontId="6" fillId="0" borderId="1" applyAlignment="1" pivotButton="0" quotePrefix="0" xfId="0">
      <alignment vertical="top" wrapText="1"/>
    </xf>
    <xf numFmtId="0" fontId="0" fillId="0" borderId="4" pivotButton="0" quotePrefix="0" xfId="0"/>
    <xf numFmtId="0" fontId="13" fillId="0" borderId="0" pivotButton="0" quotePrefix="0" xfId="0"/>
    <xf numFmtId="0" fontId="9" fillId="0" borderId="0" pivotButton="0" quotePrefix="0" xfId="0"/>
    <xf numFmtId="164" fontId="9" fillId="0" borderId="1" applyAlignment="1" pivotButton="0" quotePrefix="0" xfId="0">
      <alignment vertical="top" wrapText="1"/>
    </xf>
    <xf numFmtId="166" fontId="9" fillId="0" borderId="1" applyAlignment="1" pivotButton="0" quotePrefix="0" xfId="0">
      <alignment vertical="top" wrapText="1"/>
    </xf>
    <xf numFmtId="0" fontId="11" fillId="5" borderId="1" applyAlignment="1" pivotButton="0" quotePrefix="0" xfId="0">
      <alignment vertical="top" wrapText="1"/>
    </xf>
    <xf numFmtId="167" fontId="11" fillId="5" borderId="1" applyAlignment="1" pivotButton="0" quotePrefix="0" xfId="0">
      <alignment vertical="top" wrapText="1"/>
    </xf>
    <xf numFmtId="0" fontId="0" fillId="5" borderId="0" pivotButton="0" quotePrefix="0" xfId="0"/>
  </cellXfs>
  <cellStyles count="1">
    <cellStyle name="Normal" xfId="0" builtinId="0" hidden="0"/>
  </cellStyles>
  <dxfs count="3">
    <dxf>
      <font>
        <name val="Arial"/>
        <b val="1"/>
        <color rgb="00B91C1C"/>
      </font>
      <fill>
        <patternFill patternType="solid">
          <fgColor rgb="00FDE2E1"/>
        </patternFill>
      </fill>
    </dxf>
    <dxf>
      <font>
        <name val="Arial"/>
        <b val="1"/>
        <color rgb="006B4806"/>
      </font>
      <fill>
        <patternFill patternType="solid">
          <fgColor rgb="00FDF4E1"/>
        </patternFill>
      </fill>
    </dxf>
    <dxf>
      <fill>
        <patternFill patternType="solid">
          <fgColor rgb="00FDF4E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styles" Target="styles.xml" Id="rId8"/><Relationship Type="http://schemas.openxmlformats.org/officeDocument/2006/relationships/theme" Target="theme/theme1.xml" Id="rId9"/></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B32"/>
  <sheetViews>
    <sheetView showGridLines="0" workbookViewId="0">
      <selection activeCell="A1" sqref="A1"/>
    </sheetView>
  </sheetViews>
  <sheetFormatPr baseColWidth="8" defaultRowHeight="15"/>
  <cols>
    <col width="4" customWidth="1" min="1" max="1"/>
    <col width="112" customWidth="1" min="2" max="2"/>
  </cols>
  <sheetData>
    <row r="1">
      <c r="A1" s="1" t="inlineStr">
        <is>
          <t>OUTIL N01 · MON ASSO CULTUELLE</t>
        </is>
      </c>
    </row>
    <row r="2">
      <c r="A2" s="2" t="inlineStr">
        <is>
          <t>Budget prévisionnel annuel</t>
        </is>
      </c>
    </row>
    <row r="3">
      <c r="A3" s="3" t="inlineStr">
        <is>
          <t>Construire en une soirée de conseil le budget annuel de l’association cultuelle, à partir du réalisé estimé de l’année en cours.</t>
        </is>
      </c>
    </row>
    <row r="4">
      <c r="A4" s="4" t="inlineStr">
        <is>
          <t>Légende : cellules jaunes = à remplir ; cellules blanches = calcul automatique ; ligne en gris italique = exemple à effacer.</t>
        </is>
      </c>
    </row>
    <row r="6">
      <c r="A6" s="5" t="inlineStr">
        <is>
          <t>À quoi sert ce budget</t>
        </is>
      </c>
    </row>
    <row r="7" ht="45" customHeight="1">
      <c r="B7" s="6" t="inlineStr">
        <is>
          <t>Il chiffre, poste par poste, les charges et les ressources attendues pour l’année qui vient, et montre l’effet des investissements et du remboursement de l’emprunt sur la trésorerie. Il fixe le cadre des dépenses autorisées par le conseil et sert de référence au suivi trimestriel.</t>
        </is>
      </c>
    </row>
    <row r="8">
      <c r="A8" s="5" t="inlineStr">
        <is>
          <t>Ce que disent les textes</t>
        </is>
      </c>
    </row>
    <row r="9" ht="75" customHeight="1">
      <c r="B9" s="6" t="inlineStr">
        <is>
          <t>Le préfet peut demander à l’association cultuelle de présenter le budget prévisionnel de l’exercice en cours (loi du 9 décembre 1905, art. 21, al. 3) ; le dirigeant qui ne le présente pas encourt 9 000 € d’amende (art. 23). Le budget de l’exercice en cours accompagne aussi la déclaration de qualité cultuelle (décret du 16 mars 1906, art. 32-1, 3°). La loi ne désigne pas l’organe qui adopte le budget : suivez vos statuts. Une association cultuelle sans activité économique n’établit pas les documents prévisionnels du code de commerce (CNCC, EJ 2010-22).</t>
        </is>
      </c>
    </row>
    <row r="10">
      <c r="A10" s="5" t="inlineStr">
        <is>
          <t>1. Paramètres</t>
        </is>
      </c>
    </row>
    <row r="11" ht="45" customHeight="1">
      <c r="B11" s="6" t="inlineStr">
        <is>
          <t>Renseignez le nom de l’association, l’exercice budgété (2027 dans l’exemple), la date d’arrêté du réalisé connu, l’organe qui adopte le budget selon vos statuts, la date de la séance, la trésorerie estimée au 1er janvier et les fonds dédiés non encore employés.</t>
        </is>
      </c>
    </row>
    <row r="12">
      <c r="A12" s="5" t="inlineStr">
        <is>
          <t>2. Budget de fonctionnement</t>
        </is>
      </c>
    </row>
    <row r="13" ht="75" customHeight="1">
      <c r="B13" s="6" t="inlineStr">
        <is>
          <t>Une ligne par compte du plan comptable associatif : charges (comptes 60 à 68) puis produits (comptes 70 à 78). Pour chaque ligne, saisissez le réalisé à la date d’arrêté (grand livre) et le reste à réaliser estimé jusqu’au 31 décembre : l’outil calcule le réalisé estimé de l’année. Saisissez ensuite le budget de l’année suivante et l’hypothèse en une phrase. Pour les dons, estimez novembre et décembre avec la part qu’ils représentaient l’an dernier, pas avec une règle de trois. Les montants en gris italique sont un exemple fictif à remplacer.</t>
        </is>
      </c>
    </row>
    <row r="14">
      <c r="A14" s="5" t="inlineStr">
        <is>
          <t>Règles de prudence</t>
        </is>
      </c>
    </row>
    <row r="15" ht="60" customHeight="1">
      <c r="B15" s="6" t="inlineStr">
        <is>
          <t>Retirez du point de départ les dons exceptionnels. Ne budgétez aucun legs avant son acceptation. Les subventions sont tout à fait marginales pour une association cultuelle : n’en inscrivez que si la décision est acquise. Inscrivez les dotations aux amortissements (compte 6811), même si elles ne se paient pas. Expliquez tout écart supérieur au seuil fixé dans les paramètres : la colonne « Alerte » le signale.</t>
        </is>
      </c>
    </row>
    <row r="16">
      <c r="A16" s="5" t="inlineStr">
        <is>
          <t>3. Investissements et financement</t>
        </is>
      </c>
    </row>
    <row r="17" ht="60" customHeight="1">
      <c r="B17" s="6" t="inlineStr">
        <is>
          <t>Les achats d’immobilisations (chaudière, sonorisation, travaux immobilisés) et le remboursement du capital des emprunts (comptes 16) ne sont pas des charges : ils se saisissent dans cet onglet. Seuls les intérêts (compte 661) vont dans le budget de fonctionnement. L’outil calcule la capacité d’autofinancement (résultat + dotations aux amortissements et aux fonds dédiés – reprises) et la variation de trésorerie prévisionnelle.</t>
        </is>
      </c>
    </row>
    <row r="18">
      <c r="A18" s="5" t="inlineStr">
        <is>
          <t>4. Synthèse</t>
        </is>
      </c>
    </row>
    <row r="19" ht="60" customHeight="1">
      <c r="B19" s="6" t="inlineStr">
        <is>
          <t>Résultat prévisionnel (excédent, équilibre ou déficit), capacité d’autofinancement comparée au capital remboursé, variation et niveau de trésorerie en fin d’année, trésorerie après fonds dédiés et nombre de mois de dépenses courantes couverts. Calcul simplifié : il ne tient pas compte des décalages de paiement (dettes et créances) ; le plan de trésorerie mensuel les traite.</t>
        </is>
      </c>
    </row>
    <row r="20">
      <c r="A20" s="5" t="inlineStr">
        <is>
          <t>5. Budget pour le conseil</t>
        </is>
      </c>
    </row>
    <row r="21" ht="45" customHeight="1">
      <c r="B21" s="6" t="inlineStr">
        <is>
          <t>Version présentable, par grandes rubriques, à joindre à la convocation du conseil ou de l’assemblée, à présenter au préfet sur demande et à joindre à la déclaration de qualité cultuelle. Elle se remplit seule. Imprimez-la après l’adoption et faites-la signer.</t>
        </is>
      </c>
    </row>
    <row r="22">
      <c r="A22" s="5" t="inlineStr">
        <is>
          <t>6. Résolution type</t>
        </is>
      </c>
    </row>
    <row r="23" ht="30" customHeight="1">
      <c r="B23" s="6" t="inlineStr">
        <is>
          <t>Résolution du conseil arrêtant le budget, préremplie avec ses chiffres, et variantes (approbation par l’assemblée générale, déficit assumé, budget rectificatif). À adapter à vos statuts et à reporter au procès-verbal.</t>
        </is>
      </c>
    </row>
    <row r="24">
      <c r="A24" s="5" t="inlineStr">
        <is>
          <t>Dons affectés</t>
        </is>
      </c>
    </row>
    <row r="25" ht="45" customHeight="1">
      <c r="B25" s="6" t="inlineStr">
        <is>
          <t>Une collecte lancée pour un projet précis (par exemple un nouveau lieu de culte) ne doit pas servir à équilibrer le fonctionnement : la part non dépensée constitue des fonds dédiés, et l’employer ailleurs pourrait caractériser un abus de confiance (code pénal, art. 314-1). La trésorerie doit couvrir en permanence les fonds dédiés non encore dépensés.</t>
        </is>
      </c>
    </row>
    <row r="26">
      <c r="A26" s="5" t="inlineStr">
        <is>
          <t>Important</t>
        </is>
      </c>
    </row>
    <row r="27" ht="30" customHeight="1">
      <c r="B27" s="6" t="inlineStr">
        <is>
          <t>Ce tableur sert à prévoir. La comptabilité de l’association se tient dans un logiciel de comptabilité, qui garantit des écritures non modifiables.</t>
        </is>
      </c>
    </row>
    <row r="28">
      <c r="A28" s="5" t="inlineStr">
        <is>
          <t>En savoir plus</t>
        </is>
      </c>
    </row>
    <row r="29" ht="30" customHeight="1">
      <c r="B29" s="6" t="inlineStr">
        <is>
          <t>Article : monassocultuelle.com/budget-previsionnel-association-cultuelle-methode/ — Besoin d’aide : monassocultuelle.com/besoin-professionnel</t>
        </is>
      </c>
    </row>
    <row r="31">
      <c r="A31" s="7" t="inlineStr">
        <is>
          <t>Modèle fourni à titre indicatif, à adapter à votre situation. Ne constitue pas une consultation individualisée. Textes vérifiés le 9 octobre 2026 (loi du 9 décembre 1905, art. 19, 21 et 23 ; décret du 16 mars 1906, art. 32-1).</t>
        </is>
      </c>
    </row>
    <row r="32">
      <c r="A32" s="8" t="inlineStr">
        <is>
          <t>Samuel PETE — Mon Asso Cultuelle — N01 Budget prévisionnel annuel — version 2026-10 — monassocultuelle.com</t>
        </is>
      </c>
    </row>
  </sheetData>
  <mergeCells count="12">
    <mergeCell ref="A20:B20"/>
    <mergeCell ref="A24:B24"/>
    <mergeCell ref="A16:B16"/>
    <mergeCell ref="A26:B26"/>
    <mergeCell ref="A10:B10"/>
    <mergeCell ref="A28:B28"/>
    <mergeCell ref="A14:B14"/>
    <mergeCell ref="A18:B18"/>
    <mergeCell ref="A8:B8"/>
    <mergeCell ref="A6:B6"/>
    <mergeCell ref="A22:B22"/>
    <mergeCell ref="A12:B12"/>
  </mergeCells>
  <pageMargins left="0.75" right="0.75" top="1" bottom="1" header="0.5" footer="0.5"/>
  <pageSetup orientation="landscape" fitToHeight="0" fitToWidth="1"/>
  <headerFooter>
    <oddHeader/>
    <oddFooter>&amp;CSamuel PETE — Mon Asso Cultuelle — N01 — monassocultuelle.com</oddFooter>
    <evenHeader/>
    <evenFooter/>
    <firstHeader/>
    <firstFooter/>
  </headerFooter>
</worksheet>
</file>

<file path=xl/worksheets/sheet2.xml><?xml version="1.0" encoding="utf-8"?>
<worksheet xmlns="http://schemas.openxmlformats.org/spreadsheetml/2006/main">
  <sheetPr>
    <outlinePr summaryBelow="1" summaryRight="1"/>
    <pageSetUpPr fitToPage="1"/>
  </sheetPr>
  <dimension ref="A1:B38"/>
  <sheetViews>
    <sheetView showGridLines="0" workbookViewId="0">
      <selection activeCell="A1" sqref="A1"/>
    </sheetView>
  </sheetViews>
  <sheetFormatPr baseColWidth="8" defaultRowHeight="15"/>
  <cols>
    <col width="62" customWidth="1" min="1" max="1"/>
    <col width="46" customWidth="1" min="2" max="2"/>
  </cols>
  <sheetData>
    <row r="1">
      <c r="A1" s="1" t="inlineStr">
        <is>
          <t>OUTIL N01 · MON ASSO CULTUELLE</t>
        </is>
      </c>
    </row>
    <row r="2">
      <c r="A2" s="2" t="inlineStr">
        <is>
          <t>Paramètres</t>
        </is>
      </c>
    </row>
    <row r="3">
      <c r="A3" s="3" t="inlineStr">
        <is>
          <t>Cellules jaunes à renseigner une fois par an. Les dates se saisissent en texte (jj/mm/aaaa).</t>
        </is>
      </c>
    </row>
    <row r="4">
      <c r="A4" s="4" t="inlineStr">
        <is>
          <t>Légende : cellules jaunes = à remplir ; cellules blanches = calcul automatique ; ligne en gris italique = exemple à effacer.</t>
        </is>
      </c>
    </row>
    <row r="6">
      <c r="A6" s="9" t="inlineStr">
        <is>
          <t>Association</t>
        </is>
      </c>
      <c r="B6" s="10" t="inlineStr">
        <is>
          <t>[Nom de l’association]</t>
        </is>
      </c>
    </row>
    <row r="7">
      <c r="A7" s="9" t="inlineStr">
        <is>
          <t>Exercice budgété (année)</t>
        </is>
      </c>
      <c r="B7" s="11" t="n">
        <v>2027</v>
      </c>
    </row>
    <row r="8">
      <c r="A8" s="9" t="inlineStr">
        <is>
          <t>Exercice de référence (réalisé estimé)</t>
        </is>
      </c>
      <c r="B8" s="12">
        <f>B7-1</f>
        <v/>
      </c>
    </row>
    <row r="9">
      <c r="A9" s="9" t="inlineStr">
        <is>
          <t>Date d’arrêté du réalisé connu</t>
        </is>
      </c>
      <c r="B9" s="10" t="inlineStr">
        <is>
          <t>31/10/2026</t>
        </is>
      </c>
    </row>
    <row r="10">
      <c r="A10" s="9" t="inlineStr">
        <is>
          <t>Organe qui arrête le budget (selon les statuts)</t>
        </is>
      </c>
      <c r="B10" s="10" t="inlineStr">
        <is>
          <t>conseil d’administration</t>
        </is>
      </c>
    </row>
    <row r="11">
      <c r="A11" s="9" t="inlineStr">
        <is>
          <t>Date de la séance d’adoption</t>
        </is>
      </c>
      <c r="B11" s="10" t="inlineStr">
        <is>
          <t>18/11/2026</t>
        </is>
      </c>
    </row>
    <row r="12">
      <c r="A12" s="9" t="inlineStr">
        <is>
          <t>Trésorerie disponible estimée au 1er janvier de l’exercice budgété (€)</t>
        </is>
      </c>
      <c r="B12" s="13" t="n">
        <v>95000</v>
      </c>
    </row>
    <row r="13">
      <c r="A13" s="9" t="inlineStr">
        <is>
          <t>Fonds dédiés non encore employés au 1er janvier (€)</t>
        </is>
      </c>
      <c r="B13" s="13" t="n">
        <v>0</v>
      </c>
    </row>
    <row r="14">
      <c r="A14" s="9" t="inlineStr">
        <is>
          <t>Seuil d’écart à commenter (en %)</t>
        </is>
      </c>
      <c r="B14" s="14" t="n">
        <v>0.1</v>
      </c>
    </row>
    <row r="16">
      <c r="A16" s="15" t="inlineStr">
        <is>
          <t>Classement des comptes par rubrique (ne pas modifier)</t>
        </is>
      </c>
    </row>
    <row r="17" ht="30" customHeight="1">
      <c r="A17" s="16" t="inlineStr">
        <is>
          <t>Début du numéro de compte</t>
        </is>
      </c>
      <c r="B17" s="16" t="inlineStr">
        <is>
          <t>Rubrique</t>
        </is>
      </c>
    </row>
    <row r="18">
      <c r="A18" s="17" t="inlineStr">
        <is>
          <t>60</t>
        </is>
      </c>
      <c r="B18" s="18" t="inlineStr">
        <is>
          <t>Achats (60)</t>
        </is>
      </c>
    </row>
    <row r="19">
      <c r="A19" s="17" t="inlineStr">
        <is>
          <t>61</t>
        </is>
      </c>
      <c r="B19" s="18" t="inlineStr">
        <is>
          <t>Services extérieurs (61-62)</t>
        </is>
      </c>
    </row>
    <row r="20">
      <c r="A20" s="17" t="inlineStr">
        <is>
          <t>62</t>
        </is>
      </c>
      <c r="B20" s="18" t="inlineStr">
        <is>
          <t>Services extérieurs (61-62)</t>
        </is>
      </c>
    </row>
    <row r="21">
      <c r="A21" s="17" t="inlineStr">
        <is>
          <t>63</t>
        </is>
      </c>
      <c r="B21" s="18" t="inlineStr">
        <is>
          <t>Impôts et taxes (63)</t>
        </is>
      </c>
    </row>
    <row r="22">
      <c r="A22" s="17" t="inlineStr">
        <is>
          <t>64</t>
        </is>
      </c>
      <c r="B22" s="18" t="inlineStr">
        <is>
          <t>Indemnités, salaires et charges sociales (64)</t>
        </is>
      </c>
    </row>
    <row r="23">
      <c r="A23" s="17" t="inlineStr">
        <is>
          <t>65</t>
        </is>
      </c>
      <c r="B23" s="18" t="inlineStr">
        <is>
          <t>Aides financières et autres charges de gestion (65)</t>
        </is>
      </c>
    </row>
    <row r="24">
      <c r="A24" s="17" t="inlineStr">
        <is>
          <t>66</t>
        </is>
      </c>
      <c r="B24" s="18" t="inlineStr">
        <is>
          <t>Charges financières (66)</t>
        </is>
      </c>
    </row>
    <row r="25">
      <c r="A25" s="17" t="inlineStr">
        <is>
          <t>67</t>
        </is>
      </c>
      <c r="B25" s="18" t="inlineStr">
        <is>
          <t>Charges exceptionnelles (67)</t>
        </is>
      </c>
    </row>
    <row r="26">
      <c r="A26" s="17" t="inlineStr">
        <is>
          <t>68</t>
        </is>
      </c>
      <c r="B26" s="18" t="inlineStr">
        <is>
          <t>Dotations aux amortissements, provisions et fonds dédiés (68)</t>
        </is>
      </c>
    </row>
    <row r="27">
      <c r="A27" s="17" t="inlineStr">
        <is>
          <t>70</t>
        </is>
      </c>
      <c r="B27" s="18" t="inlineStr">
        <is>
          <t>Participations aux frais et activités annexes (70)</t>
        </is>
      </c>
    </row>
    <row r="28">
      <c r="A28" s="17" t="inlineStr">
        <is>
          <t>74</t>
        </is>
      </c>
      <c r="B28" s="18" t="inlineStr">
        <is>
          <t>Subventions (74), tout à fait marginales</t>
        </is>
      </c>
    </row>
    <row r="29">
      <c r="A29" s="17" t="inlineStr">
        <is>
          <t>754</t>
        </is>
      </c>
      <c r="B29" s="18" t="inlineStr">
        <is>
          <t>Dons, mécénat, legs (754)</t>
        </is>
      </c>
    </row>
    <row r="30">
      <c r="A30" s="17" t="inlineStr">
        <is>
          <t>756</t>
        </is>
      </c>
      <c r="B30" s="18" t="inlineStr">
        <is>
          <t>Cotisations (756)</t>
        </is>
      </c>
    </row>
    <row r="31">
      <c r="A31" s="17" t="inlineStr">
        <is>
          <t>75</t>
        </is>
      </c>
      <c r="B31" s="18" t="inlineStr">
        <is>
          <t>Casuels et autres produits de gestion (75)</t>
        </is>
      </c>
    </row>
    <row r="32">
      <c r="A32" s="17" t="inlineStr">
        <is>
          <t>76</t>
        </is>
      </c>
      <c r="B32" s="18" t="inlineStr">
        <is>
          <t>Produits financiers (76)</t>
        </is>
      </c>
    </row>
    <row r="33">
      <c r="A33" s="17" t="inlineStr">
        <is>
          <t>77</t>
        </is>
      </c>
      <c r="B33" s="18" t="inlineStr">
        <is>
          <t>Produits exceptionnels (77)</t>
        </is>
      </c>
    </row>
    <row r="34">
      <c r="A34" s="17" t="inlineStr">
        <is>
          <t>78</t>
        </is>
      </c>
      <c r="B34" s="18" t="inlineStr">
        <is>
          <t>Reprises et utilisations de fonds dédiés (78)</t>
        </is>
      </c>
    </row>
    <row r="37">
      <c r="A37" s="7" t="inlineStr">
        <is>
          <t>Modèle fourni à titre indicatif, à adapter à votre situation. Ne constitue pas une consultation individualisée. Textes vérifiés le 9 octobre 2026 (loi du 9 décembre 1905, art. 19, 21 et 23 ; décret du 16 mars 1906, art. 32-1).</t>
        </is>
      </c>
    </row>
    <row r="38">
      <c r="A38" s="8" t="inlineStr">
        <is>
          <t>Samuel PETE — Mon Asso Cultuelle — N01 Budget prévisionnel annuel — version 2026-10 — monassocultuelle.com</t>
        </is>
      </c>
    </row>
  </sheetData>
  <pageMargins left="0.75" right="0.75" top="1" bottom="1" header="0.5" footer="0.5"/>
  <pageSetup orientation="landscape" fitToHeight="0" fitToWidth="1"/>
  <headerFooter>
    <oddHeader/>
    <oddFooter>&amp;CSamuel PETE — Mon Asso Cultuelle — N01 — monassocultuelle.com</oddFooter>
    <evenHeader/>
    <evenFooter/>
    <firstHeader/>
    <firstFooter/>
  </headerFooter>
</worksheet>
</file>

<file path=xl/worksheets/sheet3.xml><?xml version="1.0" encoding="utf-8"?>
<worksheet xmlns="http://schemas.openxmlformats.org/spreadsheetml/2006/main">
  <sheetPr>
    <outlinePr summaryBelow="1" summaryRight="1"/>
    <pageSetUpPr fitToPage="1"/>
  </sheetPr>
  <dimension ref="A1:K65"/>
  <sheetViews>
    <sheetView showGridLines="0" workbookViewId="0">
      <pane xSplit="2" ySplit="6" topLeftCell="C7" activePane="bottomRight" state="frozen"/>
      <selection pane="topRight"/>
      <selection pane="bottomLeft"/>
      <selection pane="bottomRight" activeCell="A1" sqref="A1"/>
    </sheetView>
  </sheetViews>
  <sheetFormatPr baseColWidth="8" defaultRowHeight="15"/>
  <cols>
    <col width="10" customWidth="1" min="1" max="1"/>
    <col width="44" customWidth="1" min="2" max="2"/>
    <col width="14" customWidth="1" min="3" max="3"/>
    <col width="14" customWidth="1" min="4" max="4"/>
    <col width="15" customWidth="1" min="5" max="5"/>
    <col width="15" customWidth="1" min="6" max="6"/>
    <col width="13" customWidth="1" min="7" max="7"/>
    <col width="10" customWidth="1" min="8" max="8"/>
    <col width="54" customWidth="1" min="9" max="9"/>
    <col width="34" customWidth="1" min="10" max="10"/>
    <col width="26" customWidth="1" min="11" max="11"/>
  </cols>
  <sheetData>
    <row r="1">
      <c r="A1" s="1" t="inlineStr">
        <is>
          <t>OUTIL N01 · MON ASSO CULTUELLE</t>
        </is>
      </c>
    </row>
    <row r="2">
      <c r="A2" s="2" t="inlineStr">
        <is>
          <t>Budget de fonctionnement</t>
        </is>
      </c>
    </row>
    <row r="3">
      <c r="A3" s="3" t="inlineStr">
        <is>
          <t>Charges (comptes 60 à 68) et produits (comptes 70 à 78). Montants en euros. Une hypothèse par ligne.</t>
        </is>
      </c>
    </row>
    <row r="4">
      <c r="A4" s="4" t="inlineStr">
        <is>
          <t>Légende : cellules jaunes = à remplir ; cellules blanches = calcul automatique ; ligne en gris italique = exemple à effacer.</t>
        </is>
      </c>
    </row>
    <row r="6" ht="45" customHeight="1">
      <c r="A6" s="16" t="inlineStr">
        <is>
          <t>Compte</t>
        </is>
      </c>
      <c r="B6" s="16" t="inlineStr">
        <is>
          <t>Libellé</t>
        </is>
      </c>
      <c r="C6" s="16">
        <f>"Réalisé au "&amp;Paramètres!$B$9</f>
        <v/>
      </c>
      <c r="D6" s="16" t="inlineStr">
        <is>
          <t>Reste à réaliser estimé</t>
        </is>
      </c>
      <c r="E6" s="16">
        <f>"Réalisé "&amp;Paramètres!$B$8&amp;" estimé"</f>
        <v/>
      </c>
      <c r="F6" s="16">
        <f>"Budget "&amp;Paramètres!$B$7</f>
        <v/>
      </c>
      <c r="G6" s="16" t="inlineStr">
        <is>
          <t>Écart (€)</t>
        </is>
      </c>
      <c r="H6" s="16" t="inlineStr">
        <is>
          <t>Écart (%)</t>
        </is>
      </c>
      <c r="I6" s="16" t="inlineStr">
        <is>
          <t>Hypothèse / commentaire</t>
        </is>
      </c>
      <c r="J6" s="16" t="inlineStr">
        <is>
          <t>Rubrique (automatique)</t>
        </is>
      </c>
      <c r="K6" s="16" t="inlineStr">
        <is>
          <t>Alerte</t>
        </is>
      </c>
    </row>
    <row r="7">
      <c r="A7" s="19" t="inlineStr">
        <is>
          <t>CHARGES (comptes 60 à 68)</t>
        </is>
      </c>
      <c r="B7" s="20" t="n"/>
      <c r="C7" s="20" t="n"/>
      <c r="D7" s="20" t="n"/>
      <c r="E7" s="20" t="n"/>
      <c r="F7" s="20" t="n"/>
      <c r="G7" s="20" t="n"/>
      <c r="H7" s="20" t="n"/>
      <c r="I7" s="20" t="n"/>
      <c r="J7" s="20" t="n"/>
      <c r="K7" s="20" t="n"/>
    </row>
    <row r="8">
      <c r="A8" s="10" t="n">
        <v>6061</v>
      </c>
      <c r="B8" s="10" t="inlineStr">
        <is>
          <t>Énergie et eau</t>
        </is>
      </c>
      <c r="C8" s="13" t="n">
        <v>15000</v>
      </c>
      <c r="D8" s="13" t="n">
        <v>5000</v>
      </c>
      <c r="E8" s="21">
        <f>IF(AND(A8="",B8=""),"",N(C8)+N(D8))</f>
        <v/>
      </c>
      <c r="F8" s="13" t="n">
        <v>21000</v>
      </c>
      <c r="G8" s="22">
        <f>IF(AND(A8="",B8=""),"",N(F8)-N(E8))</f>
        <v/>
      </c>
      <c r="H8" s="23">
        <f>IF(OR(AND(A8="",B8=""),N(E8)=0),"",G8/E8)</f>
        <v/>
      </c>
      <c r="I8" s="10" t="inlineStr">
        <is>
          <t>Contrat de gaz renouvelé : +5 %</t>
        </is>
      </c>
      <c r="J8" s="18">
        <f>IF(A8="","",IFERROR(VLOOKUP(LEFT(A8,3),Paramètres!$A$18:$B$34,2,0),IFERROR(VLOOKUP(LEFT(A8,2),Paramètres!$A$18:$B$34,2,0),"Compte à vérifier")))</f>
        <v/>
      </c>
      <c r="K8" s="18">
        <f>IF(A8="",IF(N(F8)+N(E8)=0,"","Compte à saisir"),IF(LEFT(A8,1)&lt;&gt;"6","Compte de charge attendu (6…)",IF(I8&lt;&gt;"","",IF(N(E8)=0,IF(N(F8)=0,"","Nouvelle ligne à commenter"),IF(ABS(G8/E8)&gt;Paramètres!$B$14,"Écart à commenter","")))))</f>
        <v/>
      </c>
    </row>
    <row r="9">
      <c r="A9" s="10" t="n">
        <v>6063</v>
      </c>
      <c r="B9" s="10" t="inlineStr">
        <is>
          <t>Fournitures d’entretien et petit équipement</t>
        </is>
      </c>
      <c r="C9" s="13" t="n">
        <v>4200</v>
      </c>
      <c r="D9" s="13" t="n">
        <v>800</v>
      </c>
      <c r="E9" s="21">
        <f>IF(AND(A9="",B9=""),"",N(C9)+N(D9))</f>
        <v/>
      </c>
      <c r="F9" s="13" t="n">
        <v>5000</v>
      </c>
      <c r="G9" s="22">
        <f>IF(AND(A9="",B9=""),"",N(F9)-N(E9))</f>
        <v/>
      </c>
      <c r="H9" s="23">
        <f>IF(OR(AND(A9="",B9=""),N(E9)=0),"",G9/E9)</f>
        <v/>
      </c>
      <c r="I9" s="10" t="inlineStr">
        <is>
          <t>Reconduit</t>
        </is>
      </c>
      <c r="J9" s="18">
        <f>IF(A9="","",IFERROR(VLOOKUP(LEFT(A9,3),Paramètres!$A$18:$B$34,2,0),IFERROR(VLOOKUP(LEFT(A9,2),Paramètres!$A$18:$B$34,2,0),"Compte à vérifier")))</f>
        <v/>
      </c>
      <c r="K9" s="18">
        <f>IF(A9="",IF(N(F9)+N(E9)=0,"","Compte à saisir"),IF(LEFT(A9,1)&lt;&gt;"6","Compte de charge attendu (6…)",IF(I9&lt;&gt;"","",IF(N(E9)=0,IF(N(F9)=0,"","Nouvelle ligne à commenter"),IF(ABS(G9/E9)&gt;Paramètres!$B$14,"Écart à commenter","")))))</f>
        <v/>
      </c>
    </row>
    <row r="10">
      <c r="A10" s="10" t="n">
        <v>6064</v>
      </c>
      <c r="B10" s="10" t="inlineStr">
        <is>
          <t>Fournitures administratives</t>
        </is>
      </c>
      <c r="C10" s="13" t="n">
        <v>1200</v>
      </c>
      <c r="D10" s="13" t="n">
        <v>300</v>
      </c>
      <c r="E10" s="21">
        <f>IF(AND(A10="",B10=""),"",N(C10)+N(D10))</f>
        <v/>
      </c>
      <c r="F10" s="13" t="n">
        <v>1500</v>
      </c>
      <c r="G10" s="22">
        <f>IF(AND(A10="",B10=""),"",N(F10)-N(E10))</f>
        <v/>
      </c>
      <c r="H10" s="23">
        <f>IF(OR(AND(A10="",B10=""),N(E10)=0),"",G10/E10)</f>
        <v/>
      </c>
      <c r="I10" s="10" t="inlineStr">
        <is>
          <t>Reconduit</t>
        </is>
      </c>
      <c r="J10" s="18">
        <f>IF(A10="","",IFERROR(VLOOKUP(LEFT(A10,3),Paramètres!$A$18:$B$34,2,0),IFERROR(VLOOKUP(LEFT(A10,2),Paramètres!$A$18:$B$34,2,0),"Compte à vérifier")))</f>
        <v/>
      </c>
      <c r="K10" s="18">
        <f>IF(A10="",IF(N(F10)+N(E10)=0,"","Compte à saisir"),IF(LEFT(A10,1)&lt;&gt;"6","Compte de charge attendu (6…)",IF(I10&lt;&gt;"","",IF(N(E10)=0,IF(N(F10)=0,"","Nouvelle ligne à commenter"),IF(ABS(G10/E10)&gt;Paramètres!$B$14,"Écart à commenter","")))))</f>
        <v/>
      </c>
    </row>
    <row r="11">
      <c r="A11" s="10" t="n">
        <v>615</v>
      </c>
      <c r="B11" s="10" t="inlineStr">
        <is>
          <t>Entretien et réparations</t>
        </is>
      </c>
      <c r="C11" s="13" t="n">
        <v>14500</v>
      </c>
      <c r="D11" s="13" t="n">
        <v>1500</v>
      </c>
      <c r="E11" s="21">
        <f>IF(AND(A11="",B11=""),"",N(C11)+N(D11))</f>
        <v/>
      </c>
      <c r="F11" s="13" t="n">
        <v>15000</v>
      </c>
      <c r="G11" s="22">
        <f>IF(AND(A11="",B11=""),"",N(F11)-N(E11))</f>
        <v/>
      </c>
      <c r="H11" s="23">
        <f>IF(OR(AND(A11="",B11=""),N(E11)=0),"",G11/E11)</f>
        <v/>
      </c>
      <c r="I11" s="10" t="inlineStr">
        <is>
          <t>Réparation exceptionnelle de 3 000 € en 2026 non reconduite ; 2 000 € de petits travaux prévus</t>
        </is>
      </c>
      <c r="J11" s="18">
        <f>IF(A11="","",IFERROR(VLOOKUP(LEFT(A11,3),Paramètres!$A$18:$B$34,2,0),IFERROR(VLOOKUP(LEFT(A11,2),Paramètres!$A$18:$B$34,2,0),"Compte à vérifier")))</f>
        <v/>
      </c>
      <c r="K11" s="18">
        <f>IF(A11="",IF(N(F11)+N(E11)=0,"","Compte à saisir"),IF(LEFT(A11,1)&lt;&gt;"6","Compte de charge attendu (6…)",IF(I11&lt;&gt;"","",IF(N(E11)=0,IF(N(F11)=0,"","Nouvelle ligne à commenter"),IF(ABS(G11/E11)&gt;Paramètres!$B$14,"Écart à commenter","")))))</f>
        <v/>
      </c>
    </row>
    <row r="12">
      <c r="A12" s="10" t="n">
        <v>616</v>
      </c>
      <c r="B12" s="10" t="inlineStr">
        <is>
          <t>Primes d’assurance</t>
        </is>
      </c>
      <c r="C12" s="13" t="n">
        <v>4500</v>
      </c>
      <c r="D12" s="13" t="n">
        <v>0</v>
      </c>
      <c r="E12" s="21">
        <f>IF(AND(A12="",B12=""),"",N(C12)+N(D12))</f>
        <v/>
      </c>
      <c r="F12" s="13" t="n">
        <v>4700</v>
      </c>
      <c r="G12" s="22">
        <f>IF(AND(A12="",B12=""),"",N(F12)-N(E12))</f>
        <v/>
      </c>
      <c r="H12" s="23">
        <f>IF(OR(AND(A12="",B12=""),N(E12)=0),"",G12/E12)</f>
        <v/>
      </c>
      <c r="I12" s="10" t="inlineStr">
        <is>
          <t>Avis d’échéance 2027 : +4 %</t>
        </is>
      </c>
      <c r="J12" s="18">
        <f>IF(A12="","",IFERROR(VLOOKUP(LEFT(A12,3),Paramètres!$A$18:$B$34,2,0),IFERROR(VLOOKUP(LEFT(A12,2),Paramètres!$A$18:$B$34,2,0),"Compte à vérifier")))</f>
        <v/>
      </c>
      <c r="K12" s="18">
        <f>IF(A12="",IF(N(F12)+N(E12)=0,"","Compte à saisir"),IF(LEFT(A12,1)&lt;&gt;"6","Compte de charge attendu (6…)",IF(I12&lt;&gt;"","",IF(N(E12)=0,IF(N(F12)=0,"","Nouvelle ligne à commenter"),IF(ABS(G12/E12)&gt;Paramètres!$B$14,"Écart à commenter","")))))</f>
        <v/>
      </c>
    </row>
    <row r="13">
      <c r="A13" s="10" t="n">
        <v>6226</v>
      </c>
      <c r="B13" s="10" t="inlineStr">
        <is>
          <t>Honoraires (expert-comptable)</t>
        </is>
      </c>
      <c r="C13" s="13" t="n">
        <v>2500</v>
      </c>
      <c r="D13" s="13" t="n">
        <v>2500</v>
      </c>
      <c r="E13" s="21">
        <f>IF(AND(A13="",B13=""),"",N(C13)+N(D13))</f>
        <v/>
      </c>
      <c r="F13" s="13" t="n">
        <v>5200</v>
      </c>
      <c r="G13" s="22">
        <f>IF(AND(A13="",B13=""),"",N(F13)-N(E13))</f>
        <v/>
      </c>
      <c r="H13" s="23">
        <f>IF(OR(AND(A13="",B13=""),N(E13)=0),"",G13/E13)</f>
        <v/>
      </c>
      <c r="I13" s="10" t="inlineStr">
        <is>
          <t>Lettre de mission</t>
        </is>
      </c>
      <c r="J13" s="18">
        <f>IF(A13="","",IFERROR(VLOOKUP(LEFT(A13,3),Paramètres!$A$18:$B$34,2,0),IFERROR(VLOOKUP(LEFT(A13,2),Paramètres!$A$18:$B$34,2,0),"Compte à vérifier")))</f>
        <v/>
      </c>
      <c r="K13" s="18">
        <f>IF(A13="",IF(N(F13)+N(E13)=0,"","Compte à saisir"),IF(LEFT(A13,1)&lt;&gt;"6","Compte de charge attendu (6…)",IF(I13&lt;&gt;"","",IF(N(E13)=0,IF(N(F13)=0,"","Nouvelle ligne à commenter"),IF(ABS(G13/E13)&gt;Paramètres!$B$14,"Écart à commenter","")))))</f>
        <v/>
      </c>
    </row>
    <row r="14">
      <c r="A14" s="10" t="n">
        <v>625</v>
      </c>
      <c r="B14" s="10" t="inlineStr">
        <is>
          <t>Déplacements, missions et réceptions</t>
        </is>
      </c>
      <c r="C14" s="13" t="n">
        <v>8000</v>
      </c>
      <c r="D14" s="13" t="n">
        <v>1000</v>
      </c>
      <c r="E14" s="21">
        <f>IF(AND(A14="",B14=""),"",N(C14)+N(D14))</f>
        <v/>
      </c>
      <c r="F14" s="13" t="n">
        <v>9500</v>
      </c>
      <c r="G14" s="22">
        <f>IF(AND(A14="",B14=""),"",N(F14)-N(E14))</f>
        <v/>
      </c>
      <c r="H14" s="23">
        <f>IF(OR(AND(A14="",B14=""),N(E14)=0),"",G14/E14)</f>
        <v/>
      </c>
      <c r="I14" s="10" t="inlineStr">
        <is>
          <t>Week-end d’église : 85 participants</t>
        </is>
      </c>
      <c r="J14" s="18">
        <f>IF(A14="","",IFERROR(VLOOKUP(LEFT(A14,3),Paramètres!$A$18:$B$34,2,0),IFERROR(VLOOKUP(LEFT(A14,2),Paramètres!$A$18:$B$34,2,0),"Compte à vérifier")))</f>
        <v/>
      </c>
      <c r="K14" s="18">
        <f>IF(A14="",IF(N(F14)+N(E14)=0,"","Compte à saisir"),IF(LEFT(A14,1)&lt;&gt;"6","Compte de charge attendu (6…)",IF(I14&lt;&gt;"","",IF(N(E14)=0,IF(N(F14)=0,"","Nouvelle ligne à commenter"),IF(ABS(G14/E14)&gt;Paramètres!$B$14,"Écart à commenter","")))))</f>
        <v/>
      </c>
    </row>
    <row r="15">
      <c r="A15" s="10" t="n">
        <v>626</v>
      </c>
      <c r="B15" s="10" t="inlineStr">
        <is>
          <t>Frais postaux et de télécommunications</t>
        </is>
      </c>
      <c r="C15" s="13" t="n">
        <v>1250</v>
      </c>
      <c r="D15" s="13" t="n">
        <v>250</v>
      </c>
      <c r="E15" s="21">
        <f>IF(AND(A15="",B15=""),"",N(C15)+N(D15))</f>
        <v/>
      </c>
      <c r="F15" s="13" t="n">
        <v>1500</v>
      </c>
      <c r="G15" s="22">
        <f>IF(AND(A15="",B15=""),"",N(F15)-N(E15))</f>
        <v/>
      </c>
      <c r="H15" s="23">
        <f>IF(OR(AND(A15="",B15=""),N(E15)=0),"",G15/E15)</f>
        <v/>
      </c>
      <c r="I15" s="10" t="inlineStr">
        <is>
          <t>Reconduit</t>
        </is>
      </c>
      <c r="J15" s="18">
        <f>IF(A15="","",IFERROR(VLOOKUP(LEFT(A15,3),Paramètres!$A$18:$B$34,2,0),IFERROR(VLOOKUP(LEFT(A15,2),Paramètres!$A$18:$B$34,2,0),"Compte à vérifier")))</f>
        <v/>
      </c>
      <c r="K15" s="18">
        <f>IF(A15="",IF(N(F15)+N(E15)=0,"","Compte à saisir"),IF(LEFT(A15,1)&lt;&gt;"6","Compte de charge attendu (6…)",IF(I15&lt;&gt;"","",IF(N(E15)=0,IF(N(F15)=0,"","Nouvelle ligne à commenter"),IF(ABS(G15/E15)&gt;Paramètres!$B$14,"Écart à commenter","")))))</f>
        <v/>
      </c>
    </row>
    <row r="16">
      <c r="A16" s="10" t="n">
        <v>627</v>
      </c>
      <c r="B16" s="10" t="inlineStr">
        <is>
          <t>Services bancaires</t>
        </is>
      </c>
      <c r="C16" s="13" t="n">
        <v>500</v>
      </c>
      <c r="D16" s="13" t="n">
        <v>100</v>
      </c>
      <c r="E16" s="21">
        <f>IF(AND(A16="",B16=""),"",N(C16)+N(D16))</f>
        <v/>
      </c>
      <c r="F16" s="13" t="n">
        <v>600</v>
      </c>
      <c r="G16" s="22">
        <f>IF(AND(A16="",B16=""),"",N(F16)-N(E16))</f>
        <v/>
      </c>
      <c r="H16" s="23">
        <f>IF(OR(AND(A16="",B16=""),N(E16)=0),"",G16/E16)</f>
        <v/>
      </c>
      <c r="I16" s="10" t="inlineStr">
        <is>
          <t>Reconduit</t>
        </is>
      </c>
      <c r="J16" s="18">
        <f>IF(A16="","",IFERROR(VLOOKUP(LEFT(A16,3),Paramètres!$A$18:$B$34,2,0),IFERROR(VLOOKUP(LEFT(A16,2),Paramètres!$A$18:$B$34,2,0),"Compte à vérifier")))</f>
        <v/>
      </c>
      <c r="K16" s="18">
        <f>IF(A16="",IF(N(F16)+N(E16)=0,"","Compte à saisir"),IF(LEFT(A16,1)&lt;&gt;"6","Compte de charge attendu (6…)",IF(I16&lt;&gt;"","",IF(N(E16)=0,IF(N(F16)=0,"","Nouvelle ligne à commenter"),IF(ABS(G16/E16)&gt;Paramètres!$B$14,"Écart à commenter","")))))</f>
        <v/>
      </c>
    </row>
    <row r="17">
      <c r="A17" s="10" t="n">
        <v>6281</v>
      </c>
      <c r="B17" s="10" t="inlineStr">
        <is>
          <t>Cotisation à l’union d’Églises</t>
        </is>
      </c>
      <c r="C17" s="13" t="n">
        <v>10000</v>
      </c>
      <c r="D17" s="13" t="n">
        <v>2000</v>
      </c>
      <c r="E17" s="21">
        <f>IF(AND(A17="",B17=""),"",N(C17)+N(D17))</f>
        <v/>
      </c>
      <c r="F17" s="13" t="n">
        <v>12000</v>
      </c>
      <c r="G17" s="22">
        <f>IF(AND(A17="",B17=""),"",N(F17)-N(E17))</f>
        <v/>
      </c>
      <c r="H17" s="23">
        <f>IF(OR(AND(A17="",B17=""),N(E17)=0),"",G17/E17)</f>
        <v/>
      </c>
      <c r="I17" s="10" t="inlineStr">
        <is>
          <t>Barème de l’union inchangé</t>
        </is>
      </c>
      <c r="J17" s="18">
        <f>IF(A17="","",IFERROR(VLOOKUP(LEFT(A17,3),Paramètres!$A$18:$B$34,2,0),IFERROR(VLOOKUP(LEFT(A17,2),Paramètres!$A$18:$B$34,2,0),"Compte à vérifier")))</f>
        <v/>
      </c>
      <c r="K17" s="18">
        <f>IF(A17="",IF(N(F17)+N(E17)=0,"","Compte à saisir"),IF(LEFT(A17,1)&lt;&gt;"6","Compte de charge attendu (6…)",IF(I17&lt;&gt;"","",IF(N(E17)=0,IF(N(F17)=0,"","Nouvelle ligne à commenter"),IF(ABS(G17/E17)&gt;Paramètres!$B$14,"Écart à commenter","")))))</f>
        <v/>
      </c>
    </row>
    <row r="18">
      <c r="A18" s="10" t="n">
        <v>635</v>
      </c>
      <c r="B18" s="10" t="inlineStr">
        <is>
          <t>Autres impôts et taxes</t>
        </is>
      </c>
      <c r="C18" s="13" t="n">
        <v>600</v>
      </c>
      <c r="D18" s="13" t="n">
        <v>0</v>
      </c>
      <c r="E18" s="21">
        <f>IF(AND(A18="",B18=""),"",N(C18)+N(D18))</f>
        <v/>
      </c>
      <c r="F18" s="13" t="n">
        <v>600</v>
      </c>
      <c r="G18" s="22">
        <f>IF(AND(A18="",B18=""),"",N(F18)-N(E18))</f>
        <v/>
      </c>
      <c r="H18" s="23">
        <f>IF(OR(AND(A18="",B18=""),N(E18)=0),"",G18/E18)</f>
        <v/>
      </c>
      <c r="I18" s="10" t="inlineStr">
        <is>
          <t>Taxe foncière des locaux annexes</t>
        </is>
      </c>
      <c r="J18" s="18">
        <f>IF(A18="","",IFERROR(VLOOKUP(LEFT(A18,3),Paramètres!$A$18:$B$34,2,0),IFERROR(VLOOKUP(LEFT(A18,2),Paramètres!$A$18:$B$34,2,0),"Compte à vérifier")))</f>
        <v/>
      </c>
      <c r="K18" s="18">
        <f>IF(A18="",IF(N(F18)+N(E18)=0,"","Compte à saisir"),IF(LEFT(A18,1)&lt;&gt;"6","Compte de charge attendu (6…)",IF(I18&lt;&gt;"","",IF(N(E18)=0,IF(N(F18)=0,"","Nouvelle ligne à commenter"),IF(ABS(G18/E18)&gt;Paramètres!$B$14,"Écart à commenter","")))))</f>
        <v/>
      </c>
    </row>
    <row r="19">
      <c r="A19" s="10" t="n">
        <v>6411</v>
      </c>
      <c r="B19" s="10" t="inlineStr">
        <is>
          <t>Salaire de la secrétaire (temps partiel)</t>
        </is>
      </c>
      <c r="C19" s="13" t="n">
        <v>13000</v>
      </c>
      <c r="D19" s="13" t="n">
        <v>2600</v>
      </c>
      <c r="E19" s="21">
        <f>IF(AND(A19="",B19=""),"",N(C19)+N(D19))</f>
        <v/>
      </c>
      <c r="F19" s="13" t="n">
        <v>16200</v>
      </c>
      <c r="G19" s="22">
        <f>IF(AND(A19="",B19=""),"",N(F19)-N(E19))</f>
        <v/>
      </c>
      <c r="H19" s="23">
        <f>IF(OR(AND(A19="",B19=""),N(E19)=0),"",G19/E19)</f>
        <v/>
      </c>
      <c r="I19" s="10" t="inlineStr">
        <is>
          <t>Revalorisation de 3,8 %</t>
        </is>
      </c>
      <c r="J19" s="18">
        <f>IF(A19="","",IFERROR(VLOOKUP(LEFT(A19,3),Paramètres!$A$18:$B$34,2,0),IFERROR(VLOOKUP(LEFT(A19,2),Paramètres!$A$18:$B$34,2,0),"Compte à vérifier")))</f>
        <v/>
      </c>
      <c r="K19" s="18">
        <f>IF(A19="",IF(N(F19)+N(E19)=0,"","Compte à saisir"),IF(LEFT(A19,1)&lt;&gt;"6","Compte de charge attendu (6…)",IF(I19&lt;&gt;"","",IF(N(E19)=0,IF(N(F19)=0,"","Nouvelle ligne à commenter"),IF(ABS(G19/E19)&gt;Paramètres!$B$14,"Écart à commenter","")))))</f>
        <v/>
      </c>
    </row>
    <row r="20">
      <c r="A20" s="10" t="n">
        <v>6451</v>
      </c>
      <c r="B20" s="10" t="inlineStr">
        <is>
          <t>Cotisations URSSAF (secrétaire)</t>
        </is>
      </c>
      <c r="C20" s="13" t="n">
        <v>2830</v>
      </c>
      <c r="D20" s="13" t="n">
        <v>570</v>
      </c>
      <c r="E20" s="21">
        <f>IF(AND(A20="",B20=""),"",N(C20)+N(D20))</f>
        <v/>
      </c>
      <c r="F20" s="13" t="n">
        <v>3500</v>
      </c>
      <c r="G20" s="22">
        <f>IF(AND(A20="",B20=""),"",N(F20)-N(E20))</f>
        <v/>
      </c>
      <c r="H20" s="23">
        <f>IF(OR(AND(A20="",B20=""),N(E20)=0),"",G20/E20)</f>
        <v/>
      </c>
      <c r="I20" s="10" t="inlineStr">
        <is>
          <t>Suivent le salaire</t>
        </is>
      </c>
      <c r="J20" s="18">
        <f>IF(A20="","",IFERROR(VLOOKUP(LEFT(A20,3),Paramètres!$A$18:$B$34,2,0),IFERROR(VLOOKUP(LEFT(A20,2),Paramètres!$A$18:$B$34,2,0),"Compte à vérifier")))</f>
        <v/>
      </c>
      <c r="K20" s="18">
        <f>IF(A20="",IF(N(F20)+N(E20)=0,"","Compte à saisir"),IF(LEFT(A20,1)&lt;&gt;"6","Compte de charge attendu (6…)",IF(I20&lt;&gt;"","",IF(N(E20)=0,IF(N(F20)=0,"","Nouvelle ligne à commenter"),IF(ABS(G20/E20)&gt;Paramètres!$B$14,"Écart à commenter","")))))</f>
        <v/>
      </c>
    </row>
    <row r="21">
      <c r="A21" s="10" t="n">
        <v>6414</v>
      </c>
      <c r="B21" s="10" t="inlineStr">
        <is>
          <t>Indemnité du pasteur (ministre du culte)</t>
        </is>
      </c>
      <c r="C21" s="13" t="n">
        <v>32000</v>
      </c>
      <c r="D21" s="13" t="n">
        <v>6400</v>
      </c>
      <c r="E21" s="21">
        <f>IF(AND(A21="",B21=""),"",N(C21)+N(D21))</f>
        <v/>
      </c>
      <c r="F21" s="13" t="n">
        <v>39600</v>
      </c>
      <c r="G21" s="22">
        <f>IF(AND(A21="",B21=""),"",N(F21)-N(E21))</f>
        <v/>
      </c>
      <c r="H21" s="23">
        <f>IF(OR(AND(A21="",B21=""),N(E21)=0),"",G21/E21)</f>
        <v/>
      </c>
      <c r="I21" s="10" t="inlineStr">
        <is>
          <t>3 300 € par mois, décision du conseil</t>
        </is>
      </c>
      <c r="J21" s="18">
        <f>IF(A21="","",IFERROR(VLOOKUP(LEFT(A21,3),Paramètres!$A$18:$B$34,2,0),IFERROR(VLOOKUP(LEFT(A21,2),Paramètres!$A$18:$B$34,2,0),"Compte à vérifier")))</f>
        <v/>
      </c>
      <c r="K21" s="18">
        <f>IF(A21="",IF(N(F21)+N(E21)=0,"","Compte à saisir"),IF(LEFT(A21,1)&lt;&gt;"6","Compte de charge attendu (6…)",IF(I21&lt;&gt;"","",IF(N(E21)=0,IF(N(F21)=0,"","Nouvelle ligne à commenter"),IF(ABS(G21/E21)&gt;Paramètres!$B$14,"Écart à commenter","")))))</f>
        <v/>
      </c>
    </row>
    <row r="22">
      <c r="A22" s="10" t="n">
        <v>6458</v>
      </c>
      <c r="B22" s="10" t="inlineStr">
        <is>
          <t>Cotisations Cavimac (part de l’association)</t>
        </is>
      </c>
      <c r="C22" s="13" t="n">
        <v>5580</v>
      </c>
      <c r="D22" s="13" t="n">
        <v>1120</v>
      </c>
      <c r="E22" s="21">
        <f>IF(AND(A22="",B22=""),"",N(C22)+N(D22))</f>
        <v/>
      </c>
      <c r="F22" s="13" t="n">
        <v>6900</v>
      </c>
      <c r="G22" s="22">
        <f>IF(AND(A22="",B22=""),"",N(F22)-N(E22))</f>
        <v/>
      </c>
      <c r="H22" s="23">
        <f>IF(OR(AND(A22="",B22=""),N(E22)=0),"",G22/E22)</f>
        <v/>
      </c>
      <c r="I22" s="10" t="inlineStr">
        <is>
          <t>Base SMIC : revalorisation estimée à +2 %</t>
        </is>
      </c>
      <c r="J22" s="18">
        <f>IF(A22="","",IFERROR(VLOOKUP(LEFT(A22,3),Paramètres!$A$18:$B$34,2,0),IFERROR(VLOOKUP(LEFT(A22,2),Paramètres!$A$18:$B$34,2,0),"Compte à vérifier")))</f>
        <v/>
      </c>
      <c r="K22" s="18">
        <f>IF(A22="",IF(N(F22)+N(E22)=0,"","Compte à saisir"),IF(LEFT(A22,1)&lt;&gt;"6","Compte de charge attendu (6…)",IF(I22&lt;&gt;"","",IF(N(E22)=0,IF(N(F22)=0,"","Nouvelle ligne à commenter"),IF(ABS(G22/E22)&gt;Paramètres!$B$14,"Écart à commenter","")))))</f>
        <v/>
      </c>
    </row>
    <row r="23">
      <c r="A23" s="10" t="n">
        <v>6571</v>
      </c>
      <c r="B23" s="10" t="inlineStr">
        <is>
          <t>Aides financières : caisse d’entraide</t>
        </is>
      </c>
      <c r="C23" s="13" t="n">
        <v>3000</v>
      </c>
      <c r="D23" s="13" t="n">
        <v>1000</v>
      </c>
      <c r="E23" s="21">
        <f>IF(AND(A23="",B23=""),"",N(C23)+N(D23))</f>
        <v/>
      </c>
      <c r="F23" s="13" t="n">
        <v>4000</v>
      </c>
      <c r="G23" s="22">
        <f>IF(AND(A23="",B23=""),"",N(F23)-N(E23))</f>
        <v/>
      </c>
      <c r="H23" s="23">
        <f>IF(OR(AND(A23="",B23=""),N(E23)=0),"",G23/E23)</f>
        <v/>
      </c>
      <c r="I23" s="10" t="inlineStr">
        <is>
          <t>Montant voté reconduit</t>
        </is>
      </c>
      <c r="J23" s="18">
        <f>IF(A23="","",IFERROR(VLOOKUP(LEFT(A23,3),Paramètres!$A$18:$B$34,2,0),IFERROR(VLOOKUP(LEFT(A23,2),Paramètres!$A$18:$B$34,2,0),"Compte à vérifier")))</f>
        <v/>
      </c>
      <c r="K23" s="18">
        <f>IF(A23="",IF(N(F23)+N(E23)=0,"","Compte à saisir"),IF(LEFT(A23,1)&lt;&gt;"6","Compte de charge attendu (6…)",IF(I23&lt;&gt;"","",IF(N(E23)=0,IF(N(F23)=0,"","Nouvelle ligne à commenter"),IF(ABS(G23/E23)&gt;Paramètres!$B$14,"Écart à commenter","")))))</f>
        <v/>
      </c>
    </row>
    <row r="24">
      <c r="A24" s="10" t="n">
        <v>6571</v>
      </c>
      <c r="B24" s="10" t="inlineStr">
        <is>
          <t>Aides financières : soutien missionnaire</t>
        </is>
      </c>
      <c r="C24" s="13" t="n">
        <v>15000</v>
      </c>
      <c r="D24" s="13" t="n">
        <v>3000</v>
      </c>
      <c r="E24" s="21">
        <f>IF(AND(A24="",B24=""),"",N(C24)+N(D24))</f>
        <v/>
      </c>
      <c r="F24" s="13" t="n">
        <v>18000</v>
      </c>
      <c r="G24" s="22">
        <f>IF(AND(A24="",B24=""),"",N(F24)-N(E24))</f>
        <v/>
      </c>
      <c r="H24" s="23">
        <f>IF(OR(AND(A24="",B24=""),N(E24)=0),"",G24/E24)</f>
        <v/>
      </c>
      <c r="I24" s="10" t="inlineStr">
        <is>
          <t>Montant voté reconduit (association cultuelle de même objet)</t>
        </is>
      </c>
      <c r="J24" s="18">
        <f>IF(A24="","",IFERROR(VLOOKUP(LEFT(A24,3),Paramètres!$A$18:$B$34,2,0),IFERROR(VLOOKUP(LEFT(A24,2),Paramètres!$A$18:$B$34,2,0),"Compte à vérifier")))</f>
        <v/>
      </c>
      <c r="K24" s="18">
        <f>IF(A24="",IF(N(F24)+N(E24)=0,"","Compte à saisir"),IF(LEFT(A24,1)&lt;&gt;"6","Compte de charge attendu (6…)",IF(I24&lt;&gt;"","",IF(N(E24)=0,IF(N(F24)=0,"","Nouvelle ligne à commenter"),IF(ABS(G24/E24)&gt;Paramètres!$B$14,"Écart à commenter","")))))</f>
        <v/>
      </c>
    </row>
    <row r="25">
      <c r="A25" s="10" t="n">
        <v>661</v>
      </c>
      <c r="B25" s="10" t="inlineStr">
        <is>
          <t>Charges d’intérêts</t>
        </is>
      </c>
      <c r="C25" s="13" t="n">
        <v>3700</v>
      </c>
      <c r="D25" s="13" t="n">
        <v>700</v>
      </c>
      <c r="E25" s="21">
        <f>IF(AND(A25="",B25=""),"",N(C25)+N(D25))</f>
        <v/>
      </c>
      <c r="F25" s="13" t="n">
        <v>3900</v>
      </c>
      <c r="G25" s="22">
        <f>IF(AND(A25="",B25=""),"",N(F25)-N(E25))</f>
        <v/>
      </c>
      <c r="H25" s="23">
        <f>IF(OR(AND(A25="",B25=""),N(E25)=0),"",G25/E25)</f>
        <v/>
      </c>
      <c r="I25" s="10" t="inlineStr">
        <is>
          <t>Échéancier de la banque</t>
        </is>
      </c>
      <c r="J25" s="18">
        <f>IF(A25="","",IFERROR(VLOOKUP(LEFT(A25,3),Paramètres!$A$18:$B$34,2,0),IFERROR(VLOOKUP(LEFT(A25,2),Paramètres!$A$18:$B$34,2,0),"Compte à vérifier")))</f>
        <v/>
      </c>
      <c r="K25" s="18">
        <f>IF(A25="",IF(N(F25)+N(E25)=0,"","Compte à saisir"),IF(LEFT(A25,1)&lt;&gt;"6","Compte de charge attendu (6…)",IF(I25&lt;&gt;"","",IF(N(E25)=0,IF(N(F25)=0,"","Nouvelle ligne à commenter"),IF(ABS(G25/E25)&gt;Paramètres!$B$14,"Écart à commenter","")))))</f>
        <v/>
      </c>
    </row>
    <row r="26">
      <c r="A26" s="10" t="n">
        <v>6811</v>
      </c>
      <c r="B26" s="10" t="inlineStr">
        <is>
          <t>Dotations aux amortissements</t>
        </is>
      </c>
      <c r="C26" s="13" t="n">
        <v>0</v>
      </c>
      <c r="D26" s="13" t="n">
        <v>22000</v>
      </c>
      <c r="E26" s="21">
        <f>IF(AND(A26="",B26=""),"",N(C26)+N(D26))</f>
        <v/>
      </c>
      <c r="F26" s="13" t="n">
        <v>23000</v>
      </c>
      <c r="G26" s="22">
        <f>IF(AND(A26="",B26=""),"",N(F26)-N(E26))</f>
        <v/>
      </c>
      <c r="H26" s="23">
        <f>IF(OR(AND(A26="",B26=""),N(E26)=0),"",G26/E26)</f>
        <v/>
      </c>
      <c r="I26" s="10" t="inlineStr">
        <is>
          <t>Plan d’amortissement, achats de 2027 compris</t>
        </is>
      </c>
      <c r="J26" s="18">
        <f>IF(A26="","",IFERROR(VLOOKUP(LEFT(A26,3),Paramètres!$A$18:$B$34,2,0),IFERROR(VLOOKUP(LEFT(A26,2),Paramètres!$A$18:$B$34,2,0),"Compte à vérifier")))</f>
        <v/>
      </c>
      <c r="K26" s="18">
        <f>IF(A26="",IF(N(F26)+N(E26)=0,"","Compte à saisir"),IF(LEFT(A26,1)&lt;&gt;"6","Compte de charge attendu (6…)",IF(I26&lt;&gt;"","",IF(N(E26)=0,IF(N(F26)=0,"","Nouvelle ligne à commenter"),IF(ABS(G26/E26)&gt;Paramètres!$B$14,"Écart à commenter","")))))</f>
        <v/>
      </c>
    </row>
    <row r="27">
      <c r="A27" s="24" t="n"/>
      <c r="B27" s="24" t="n"/>
      <c r="C27" s="25" t="n"/>
      <c r="D27" s="25" t="n"/>
      <c r="E27" s="21">
        <f>IF(AND(A27="",B27=""),"",N(C27)+N(D27))</f>
        <v/>
      </c>
      <c r="F27" s="25" t="n"/>
      <c r="G27" s="22">
        <f>IF(AND(A27="",B27=""),"",N(F27)-N(E27))</f>
        <v/>
      </c>
      <c r="H27" s="23">
        <f>IF(OR(AND(A27="",B27=""),N(E27)=0),"",G27/E27)</f>
        <v/>
      </c>
      <c r="I27" s="24" t="n"/>
      <c r="J27" s="18">
        <f>IF(A27="","",IFERROR(VLOOKUP(LEFT(A27,3),Paramètres!$A$18:$B$34,2,0),IFERROR(VLOOKUP(LEFT(A27,2),Paramètres!$A$18:$B$34,2,0),"Compte à vérifier")))</f>
        <v/>
      </c>
      <c r="K27" s="18">
        <f>IF(A27="",IF(N(F27)+N(E27)=0,"","Compte à saisir"),IF(LEFT(A27,1)&lt;&gt;"6","Compte de charge attendu (6…)",IF(I27&lt;&gt;"","",IF(N(E27)=0,IF(N(F27)=0,"","Nouvelle ligne à commenter"),IF(ABS(G27/E27)&gt;Paramètres!$B$14,"Écart à commenter","")))))</f>
        <v/>
      </c>
    </row>
    <row r="28">
      <c r="A28" s="24" t="n"/>
      <c r="B28" s="24" t="n"/>
      <c r="C28" s="25" t="n"/>
      <c r="D28" s="25" t="n"/>
      <c r="E28" s="21">
        <f>IF(AND(A28="",B28=""),"",N(C28)+N(D28))</f>
        <v/>
      </c>
      <c r="F28" s="25" t="n"/>
      <c r="G28" s="22">
        <f>IF(AND(A28="",B28=""),"",N(F28)-N(E28))</f>
        <v/>
      </c>
      <c r="H28" s="23">
        <f>IF(OR(AND(A28="",B28=""),N(E28)=0),"",G28/E28)</f>
        <v/>
      </c>
      <c r="I28" s="24" t="n"/>
      <c r="J28" s="18">
        <f>IF(A28="","",IFERROR(VLOOKUP(LEFT(A28,3),Paramètres!$A$18:$B$34,2,0),IFERROR(VLOOKUP(LEFT(A28,2),Paramètres!$A$18:$B$34,2,0),"Compte à vérifier")))</f>
        <v/>
      </c>
      <c r="K28" s="18">
        <f>IF(A28="",IF(N(F28)+N(E28)=0,"","Compte à saisir"),IF(LEFT(A28,1)&lt;&gt;"6","Compte de charge attendu (6…)",IF(I28&lt;&gt;"","",IF(N(E28)=0,IF(N(F28)=0,"","Nouvelle ligne à commenter"),IF(ABS(G28/E28)&gt;Paramètres!$B$14,"Écart à commenter","")))))</f>
        <v/>
      </c>
    </row>
    <row r="29">
      <c r="A29" s="24" t="n"/>
      <c r="B29" s="24" t="n"/>
      <c r="C29" s="25" t="n"/>
      <c r="D29" s="25" t="n"/>
      <c r="E29" s="21">
        <f>IF(AND(A29="",B29=""),"",N(C29)+N(D29))</f>
        <v/>
      </c>
      <c r="F29" s="25" t="n"/>
      <c r="G29" s="22">
        <f>IF(AND(A29="",B29=""),"",N(F29)-N(E29))</f>
        <v/>
      </c>
      <c r="H29" s="23">
        <f>IF(OR(AND(A29="",B29=""),N(E29)=0),"",G29/E29)</f>
        <v/>
      </c>
      <c r="I29" s="24" t="n"/>
      <c r="J29" s="18">
        <f>IF(A29="","",IFERROR(VLOOKUP(LEFT(A29,3),Paramètres!$A$18:$B$34,2,0),IFERROR(VLOOKUP(LEFT(A29,2),Paramètres!$A$18:$B$34,2,0),"Compte à vérifier")))</f>
        <v/>
      </c>
      <c r="K29" s="18">
        <f>IF(A29="",IF(N(F29)+N(E29)=0,"","Compte à saisir"),IF(LEFT(A29,1)&lt;&gt;"6","Compte de charge attendu (6…)",IF(I29&lt;&gt;"","",IF(N(E29)=0,IF(N(F29)=0,"","Nouvelle ligne à commenter"),IF(ABS(G29/E29)&gt;Paramètres!$B$14,"Écart à commenter","")))))</f>
        <v/>
      </c>
    </row>
    <row r="30">
      <c r="A30" s="24" t="n"/>
      <c r="B30" s="24" t="n"/>
      <c r="C30" s="25" t="n"/>
      <c r="D30" s="25" t="n"/>
      <c r="E30" s="21">
        <f>IF(AND(A30="",B30=""),"",N(C30)+N(D30))</f>
        <v/>
      </c>
      <c r="F30" s="25" t="n"/>
      <c r="G30" s="22">
        <f>IF(AND(A30="",B30=""),"",N(F30)-N(E30))</f>
        <v/>
      </c>
      <c r="H30" s="23">
        <f>IF(OR(AND(A30="",B30=""),N(E30)=0),"",G30/E30)</f>
        <v/>
      </c>
      <c r="I30" s="24" t="n"/>
      <c r="J30" s="18">
        <f>IF(A30="","",IFERROR(VLOOKUP(LEFT(A30,3),Paramètres!$A$18:$B$34,2,0),IFERROR(VLOOKUP(LEFT(A30,2),Paramètres!$A$18:$B$34,2,0),"Compte à vérifier")))</f>
        <v/>
      </c>
      <c r="K30" s="18">
        <f>IF(A30="",IF(N(F30)+N(E30)=0,"","Compte à saisir"),IF(LEFT(A30,1)&lt;&gt;"6","Compte de charge attendu (6…)",IF(I30&lt;&gt;"","",IF(N(E30)=0,IF(N(F30)=0,"","Nouvelle ligne à commenter"),IF(ABS(G30/E30)&gt;Paramètres!$B$14,"Écart à commenter","")))))</f>
        <v/>
      </c>
    </row>
    <row r="31">
      <c r="A31" s="24" t="n"/>
      <c r="B31" s="24" t="n"/>
      <c r="C31" s="25" t="n"/>
      <c r="D31" s="25" t="n"/>
      <c r="E31" s="21">
        <f>IF(AND(A31="",B31=""),"",N(C31)+N(D31))</f>
        <v/>
      </c>
      <c r="F31" s="25" t="n"/>
      <c r="G31" s="22">
        <f>IF(AND(A31="",B31=""),"",N(F31)-N(E31))</f>
        <v/>
      </c>
      <c r="H31" s="23">
        <f>IF(OR(AND(A31="",B31=""),N(E31)=0),"",G31/E31)</f>
        <v/>
      </c>
      <c r="I31" s="24" t="n"/>
      <c r="J31" s="18">
        <f>IF(A31="","",IFERROR(VLOOKUP(LEFT(A31,3),Paramètres!$A$18:$B$34,2,0),IFERROR(VLOOKUP(LEFT(A31,2),Paramètres!$A$18:$B$34,2,0),"Compte à vérifier")))</f>
        <v/>
      </c>
      <c r="K31" s="18">
        <f>IF(A31="",IF(N(F31)+N(E31)=0,"","Compte à saisir"),IF(LEFT(A31,1)&lt;&gt;"6","Compte de charge attendu (6…)",IF(I31&lt;&gt;"","",IF(N(E31)=0,IF(N(F31)=0,"","Nouvelle ligne à commenter"),IF(ABS(G31/E31)&gt;Paramètres!$B$14,"Écart à commenter","")))))</f>
        <v/>
      </c>
    </row>
    <row r="32">
      <c r="A32" s="24" t="n"/>
      <c r="B32" s="24" t="n"/>
      <c r="C32" s="25" t="n"/>
      <c r="D32" s="25" t="n"/>
      <c r="E32" s="21">
        <f>IF(AND(A32="",B32=""),"",N(C32)+N(D32))</f>
        <v/>
      </c>
      <c r="F32" s="25" t="n"/>
      <c r="G32" s="22">
        <f>IF(AND(A32="",B32=""),"",N(F32)-N(E32))</f>
        <v/>
      </c>
      <c r="H32" s="23">
        <f>IF(OR(AND(A32="",B32=""),N(E32)=0),"",G32/E32)</f>
        <v/>
      </c>
      <c r="I32" s="24" t="n"/>
      <c r="J32" s="18">
        <f>IF(A32="","",IFERROR(VLOOKUP(LEFT(A32,3),Paramètres!$A$18:$B$34,2,0),IFERROR(VLOOKUP(LEFT(A32,2),Paramètres!$A$18:$B$34,2,0),"Compte à vérifier")))</f>
        <v/>
      </c>
      <c r="K32" s="18">
        <f>IF(A32="",IF(N(F32)+N(E32)=0,"","Compte à saisir"),IF(LEFT(A32,1)&lt;&gt;"6","Compte de charge attendu (6…)",IF(I32&lt;&gt;"","",IF(N(E32)=0,IF(N(F32)=0,"","Nouvelle ligne à commenter"),IF(ABS(G32/E32)&gt;Paramètres!$B$14,"Écart à commenter","")))))</f>
        <v/>
      </c>
    </row>
    <row r="33">
      <c r="A33" s="24" t="n"/>
      <c r="B33" s="24" t="n"/>
      <c r="C33" s="25" t="n"/>
      <c r="D33" s="25" t="n"/>
      <c r="E33" s="21">
        <f>IF(AND(A33="",B33=""),"",N(C33)+N(D33))</f>
        <v/>
      </c>
      <c r="F33" s="25" t="n"/>
      <c r="G33" s="22">
        <f>IF(AND(A33="",B33=""),"",N(F33)-N(E33))</f>
        <v/>
      </c>
      <c r="H33" s="23">
        <f>IF(OR(AND(A33="",B33=""),N(E33)=0),"",G33/E33)</f>
        <v/>
      </c>
      <c r="I33" s="24" t="n"/>
      <c r="J33" s="18">
        <f>IF(A33="","",IFERROR(VLOOKUP(LEFT(A33,3),Paramètres!$A$18:$B$34,2,0),IFERROR(VLOOKUP(LEFT(A33,2),Paramètres!$A$18:$B$34,2,0),"Compte à vérifier")))</f>
        <v/>
      </c>
      <c r="K33" s="18">
        <f>IF(A33="",IF(N(F33)+N(E33)=0,"","Compte à saisir"),IF(LEFT(A33,1)&lt;&gt;"6","Compte de charge attendu (6…)",IF(I33&lt;&gt;"","",IF(N(E33)=0,IF(N(F33)=0,"","Nouvelle ligne à commenter"),IF(ABS(G33/E33)&gt;Paramètres!$B$14,"Écart à commenter","")))))</f>
        <v/>
      </c>
    </row>
    <row r="34">
      <c r="A34" s="24" t="n"/>
      <c r="B34" s="24" t="n"/>
      <c r="C34" s="25" t="n"/>
      <c r="D34" s="25" t="n"/>
      <c r="E34" s="21">
        <f>IF(AND(A34="",B34=""),"",N(C34)+N(D34))</f>
        <v/>
      </c>
      <c r="F34" s="25" t="n"/>
      <c r="G34" s="22">
        <f>IF(AND(A34="",B34=""),"",N(F34)-N(E34))</f>
        <v/>
      </c>
      <c r="H34" s="23">
        <f>IF(OR(AND(A34="",B34=""),N(E34)=0),"",G34/E34)</f>
        <v/>
      </c>
      <c r="I34" s="24" t="n"/>
      <c r="J34" s="18">
        <f>IF(A34="","",IFERROR(VLOOKUP(LEFT(A34,3),Paramètres!$A$18:$B$34,2,0),IFERROR(VLOOKUP(LEFT(A34,2),Paramètres!$A$18:$B$34,2,0),"Compte à vérifier")))</f>
        <v/>
      </c>
      <c r="K34" s="18">
        <f>IF(A34="",IF(N(F34)+N(E34)=0,"","Compte à saisir"),IF(LEFT(A34,1)&lt;&gt;"6","Compte de charge attendu (6…)",IF(I34&lt;&gt;"","",IF(N(E34)=0,IF(N(F34)=0,"","Nouvelle ligne à commenter"),IF(ABS(G34/E34)&gt;Paramètres!$B$14,"Écart à commenter","")))))</f>
        <v/>
      </c>
    </row>
    <row r="35">
      <c r="A35" s="24" t="n"/>
      <c r="B35" s="24" t="n"/>
      <c r="C35" s="25" t="n"/>
      <c r="D35" s="25" t="n"/>
      <c r="E35" s="21">
        <f>IF(AND(A35="",B35=""),"",N(C35)+N(D35))</f>
        <v/>
      </c>
      <c r="F35" s="25" t="n"/>
      <c r="G35" s="22">
        <f>IF(AND(A35="",B35=""),"",N(F35)-N(E35))</f>
        <v/>
      </c>
      <c r="H35" s="23">
        <f>IF(OR(AND(A35="",B35=""),N(E35)=0),"",G35/E35)</f>
        <v/>
      </c>
      <c r="I35" s="24" t="n"/>
      <c r="J35" s="18">
        <f>IF(A35="","",IFERROR(VLOOKUP(LEFT(A35,3),Paramètres!$A$18:$B$34,2,0),IFERROR(VLOOKUP(LEFT(A35,2),Paramètres!$A$18:$B$34,2,0),"Compte à vérifier")))</f>
        <v/>
      </c>
      <c r="K35" s="18">
        <f>IF(A35="",IF(N(F35)+N(E35)=0,"","Compte à saisir"),IF(LEFT(A35,1)&lt;&gt;"6","Compte de charge attendu (6…)",IF(I35&lt;&gt;"","",IF(N(E35)=0,IF(N(F35)=0,"","Nouvelle ligne à commenter"),IF(ABS(G35/E35)&gt;Paramètres!$B$14,"Écart à commenter","")))))</f>
        <v/>
      </c>
    </row>
    <row r="36">
      <c r="A36" s="24" t="n"/>
      <c r="B36" s="24" t="n"/>
      <c r="C36" s="25" t="n"/>
      <c r="D36" s="25" t="n"/>
      <c r="E36" s="21">
        <f>IF(AND(A36="",B36=""),"",N(C36)+N(D36))</f>
        <v/>
      </c>
      <c r="F36" s="25" t="n"/>
      <c r="G36" s="22">
        <f>IF(AND(A36="",B36=""),"",N(F36)-N(E36))</f>
        <v/>
      </c>
      <c r="H36" s="23">
        <f>IF(OR(AND(A36="",B36=""),N(E36)=0),"",G36/E36)</f>
        <v/>
      </c>
      <c r="I36" s="24" t="n"/>
      <c r="J36" s="18">
        <f>IF(A36="","",IFERROR(VLOOKUP(LEFT(A36,3),Paramètres!$A$18:$B$34,2,0),IFERROR(VLOOKUP(LEFT(A36,2),Paramètres!$A$18:$B$34,2,0),"Compte à vérifier")))</f>
        <v/>
      </c>
      <c r="K36" s="18">
        <f>IF(A36="",IF(N(F36)+N(E36)=0,"","Compte à saisir"),IF(LEFT(A36,1)&lt;&gt;"6","Compte de charge attendu (6…)",IF(I36&lt;&gt;"","",IF(N(E36)=0,IF(N(F36)=0,"","Nouvelle ligne à commenter"),IF(ABS(G36/E36)&gt;Paramètres!$B$14,"Écart à commenter","")))))</f>
        <v/>
      </c>
    </row>
    <row r="37">
      <c r="A37" s="24" t="n"/>
      <c r="B37" s="24" t="n"/>
      <c r="C37" s="25" t="n"/>
      <c r="D37" s="25" t="n"/>
      <c r="E37" s="21">
        <f>IF(AND(A37="",B37=""),"",N(C37)+N(D37))</f>
        <v/>
      </c>
      <c r="F37" s="25" t="n"/>
      <c r="G37" s="22">
        <f>IF(AND(A37="",B37=""),"",N(F37)-N(E37))</f>
        <v/>
      </c>
      <c r="H37" s="23">
        <f>IF(OR(AND(A37="",B37=""),N(E37)=0),"",G37/E37)</f>
        <v/>
      </c>
      <c r="I37" s="24" t="n"/>
      <c r="J37" s="18">
        <f>IF(A37="","",IFERROR(VLOOKUP(LEFT(A37,3),Paramètres!$A$18:$B$34,2,0),IFERROR(VLOOKUP(LEFT(A37,2),Paramètres!$A$18:$B$34,2,0),"Compte à vérifier")))</f>
        <v/>
      </c>
      <c r="K37" s="18">
        <f>IF(A37="",IF(N(F37)+N(E37)=0,"","Compte à saisir"),IF(LEFT(A37,1)&lt;&gt;"6","Compte de charge attendu (6…)",IF(I37&lt;&gt;"","",IF(N(E37)=0,IF(N(F37)=0,"","Nouvelle ligne à commenter"),IF(ABS(G37/E37)&gt;Paramètres!$B$14,"Écart à commenter","")))))</f>
        <v/>
      </c>
    </row>
    <row r="38">
      <c r="A38" s="19" t="inlineStr">
        <is>
          <t>Total des charges</t>
        </is>
      </c>
      <c r="B38" s="20" t="n"/>
      <c r="C38" s="26">
        <f>SUM(C8:C37)</f>
        <v/>
      </c>
      <c r="D38" s="26">
        <f>SUM(D8:D37)</f>
        <v/>
      </c>
      <c r="E38" s="26">
        <f>SUM(E8:E37)</f>
        <v/>
      </c>
      <c r="F38" s="26">
        <f>SUM(F8:F37)</f>
        <v/>
      </c>
      <c r="G38" s="27">
        <f>SUM(G8:G37)</f>
        <v/>
      </c>
      <c r="H38" s="28">
        <f>IF(E38=0,"",G38/E38)</f>
        <v/>
      </c>
      <c r="I38" s="20" t="n"/>
      <c r="J38" s="20" t="n"/>
      <c r="K38" s="20" t="n"/>
    </row>
    <row r="40">
      <c r="A40" s="19" t="inlineStr">
        <is>
          <t>PRODUITS (comptes 70 à 78)</t>
        </is>
      </c>
      <c r="B40" s="20" t="n"/>
      <c r="C40" s="20" t="n"/>
      <c r="D40" s="20" t="n"/>
      <c r="E40" s="20" t="n"/>
      <c r="F40" s="20" t="n"/>
      <c r="G40" s="20" t="n"/>
      <c r="H40" s="20" t="n"/>
      <c r="I40" s="20" t="n"/>
      <c r="J40" s="20" t="n"/>
      <c r="K40" s="20" t="n"/>
    </row>
    <row r="41">
      <c r="A41" s="10" t="n">
        <v>75411</v>
      </c>
      <c r="B41" s="10" t="inlineStr">
        <is>
          <t>Dons manuels (offrandes, dîmes, virements réguliers)</t>
        </is>
      </c>
      <c r="C41" s="13" t="n">
        <v>152500</v>
      </c>
      <c r="D41" s="13" t="n">
        <v>45500</v>
      </c>
      <c r="E41" s="21">
        <f>IF(AND(A41="",B41=""),"",N(C41)+N(D41))</f>
        <v/>
      </c>
      <c r="F41" s="13" t="n">
        <v>199000</v>
      </c>
      <c r="G41" s="22">
        <f>IF(AND(A41="",B41=""),"",N(F41)-N(E41))</f>
        <v/>
      </c>
      <c r="H41" s="23">
        <f>IF(OR(AND(A41="",B41=""),N(E41)=0),"",G41/E41)</f>
        <v/>
      </c>
      <c r="I41" s="10" t="inlineStr">
        <is>
          <t>Base 2026 hors don exceptionnel de 5 000 € (193 000 €), puis +3 %</t>
        </is>
      </c>
      <c r="J41" s="18">
        <f>IF(A41="","",IFERROR(VLOOKUP(LEFT(A41,3),Paramètres!$A$18:$B$34,2,0),IFERROR(VLOOKUP(LEFT(A41,2),Paramètres!$A$18:$B$34,2,0),"Compte à vérifier")))</f>
        <v/>
      </c>
      <c r="K41" s="18">
        <f>IF(A41="",IF(N(F41)+N(E41)=0,"","Compte à saisir"),IF(LEFT(A41,1)&lt;&gt;"7","Compte de produit attendu (7…)",IF(I41&lt;&gt;"","",IF(N(E41)=0,IF(N(F41)=0,"","Nouvelle ligne à commenter"),IF(ABS(G41/E41)&gt;Paramètres!$B$14,"Écart à commenter","")))))</f>
        <v/>
      </c>
    </row>
    <row r="42">
      <c r="A42" s="10" t="n">
        <v>7589</v>
      </c>
      <c r="B42" s="10" t="inlineStr">
        <is>
          <t>Casuels (sous-compte de 758)</t>
        </is>
      </c>
      <c r="C42" s="13" t="n">
        <v>2500</v>
      </c>
      <c r="D42" s="13" t="n">
        <v>500</v>
      </c>
      <c r="E42" s="21">
        <f>IF(AND(A42="",B42=""),"",N(C42)+N(D42))</f>
        <v/>
      </c>
      <c r="F42" s="13" t="n">
        <v>3000</v>
      </c>
      <c r="G42" s="22">
        <f>IF(AND(A42="",B42=""),"",N(F42)-N(E42))</f>
        <v/>
      </c>
      <c r="H42" s="23">
        <f>IF(OR(AND(A42="",B42=""),N(E42)=0),"",G42/E42)</f>
        <v/>
      </c>
      <c r="I42" s="10" t="inlineStr">
        <is>
          <t>Reconduit</t>
        </is>
      </c>
      <c r="J42" s="18">
        <f>IF(A42="","",IFERROR(VLOOKUP(LEFT(A42,3),Paramètres!$A$18:$B$34,2,0),IFERROR(VLOOKUP(LEFT(A42,2),Paramètres!$A$18:$B$34,2,0),"Compte à vérifier")))</f>
        <v/>
      </c>
      <c r="K42" s="18">
        <f>IF(A42="",IF(N(F42)+N(E42)=0,"","Compte à saisir"),IF(LEFT(A42,1)&lt;&gt;"7","Compte de produit attendu (7…)",IF(I42&lt;&gt;"","",IF(N(E42)=0,IF(N(F42)=0,"","Nouvelle ligne à commenter"),IF(ABS(G42/E42)&gt;Paramètres!$B$14,"Écart à commenter","")))))</f>
        <v/>
      </c>
    </row>
    <row r="43">
      <c r="A43" s="10" t="n">
        <v>708</v>
      </c>
      <c r="B43" s="10" t="inlineStr">
        <is>
          <t>Participations aux frais (week-end d’église)</t>
        </is>
      </c>
      <c r="C43" s="13" t="n">
        <v>8000</v>
      </c>
      <c r="D43" s="13" t="n">
        <v>0</v>
      </c>
      <c r="E43" s="21">
        <f>IF(AND(A43="",B43=""),"",N(C43)+N(D43))</f>
        <v/>
      </c>
      <c r="F43" s="13" t="n">
        <v>8500</v>
      </c>
      <c r="G43" s="22">
        <f>IF(AND(A43="",B43=""),"",N(F43)-N(E43))</f>
        <v/>
      </c>
      <c r="H43" s="23">
        <f>IF(OR(AND(A43="",B43=""),N(E43)=0),"",G43/E43)</f>
        <v/>
      </c>
      <c r="I43" s="10" t="inlineStr">
        <is>
          <t>85 inscrits à 100 €</t>
        </is>
      </c>
      <c r="J43" s="18">
        <f>IF(A43="","",IFERROR(VLOOKUP(LEFT(A43,3),Paramètres!$A$18:$B$34,2,0),IFERROR(VLOOKUP(LEFT(A43,2),Paramètres!$A$18:$B$34,2,0),"Compte à vérifier")))</f>
        <v/>
      </c>
      <c r="K43" s="18">
        <f>IF(A43="",IF(N(F43)+N(E43)=0,"","Compte à saisir"),IF(LEFT(A43,1)&lt;&gt;"7","Compte de produit attendu (7…)",IF(I43&lt;&gt;"","",IF(N(E43)=0,IF(N(F43)=0,"","Nouvelle ligne à commenter"),IF(ABS(G43/E43)&gt;Paramètres!$B$14,"Écart à commenter","")))))</f>
        <v/>
      </c>
    </row>
    <row r="44">
      <c r="A44" s="10" t="n">
        <v>768</v>
      </c>
      <c r="B44" s="10" t="inlineStr">
        <is>
          <t>Intérêts des livrets</t>
        </is>
      </c>
      <c r="C44" s="13" t="n">
        <v>0</v>
      </c>
      <c r="D44" s="13" t="n">
        <v>1200</v>
      </c>
      <c r="E44" s="21">
        <f>IF(AND(A44="",B44=""),"",N(C44)+N(D44))</f>
        <v/>
      </c>
      <c r="F44" s="13" t="n">
        <v>900</v>
      </c>
      <c r="G44" s="22">
        <f>IF(AND(A44="",B44=""),"",N(F44)-N(E44))</f>
        <v/>
      </c>
      <c r="H44" s="23">
        <f>IF(OR(AND(A44="",B44=""),N(E44)=0),"",G44/E44)</f>
        <v/>
      </c>
      <c r="I44" s="10" t="inlineStr">
        <is>
          <t>Livrets moins garnis après les travaux</t>
        </is>
      </c>
      <c r="J44" s="18">
        <f>IF(A44="","",IFERROR(VLOOKUP(LEFT(A44,3),Paramètres!$A$18:$B$34,2,0),IFERROR(VLOOKUP(LEFT(A44,2),Paramètres!$A$18:$B$34,2,0),"Compte à vérifier")))</f>
        <v/>
      </c>
      <c r="K44" s="18">
        <f>IF(A44="",IF(N(F44)+N(E44)=0,"","Compte à saisir"),IF(LEFT(A44,1)&lt;&gt;"7","Compte de produit attendu (7…)",IF(I44&lt;&gt;"","",IF(N(E44)=0,IF(N(F44)=0,"","Nouvelle ligne à commenter"),IF(ABS(G44/E44)&gt;Paramètres!$B$14,"Écart à commenter","")))))</f>
        <v/>
      </c>
    </row>
    <row r="45">
      <c r="A45" s="10" t="n">
        <v>7561</v>
      </c>
      <c r="B45" s="10" t="inlineStr">
        <is>
          <t>Cotisations des membres</t>
        </is>
      </c>
      <c r="C45" s="13" t="n">
        <v>0</v>
      </c>
      <c r="D45" s="13" t="n">
        <v>0</v>
      </c>
      <c r="E45" s="21">
        <f>IF(AND(A45="",B45=""),"",N(C45)+N(D45))</f>
        <v/>
      </c>
      <c r="F45" s="13" t="n">
        <v>0</v>
      </c>
      <c r="G45" s="22">
        <f>IF(AND(A45="",B45=""),"",N(F45)-N(E45))</f>
        <v/>
      </c>
      <c r="H45" s="23">
        <f>IF(OR(AND(A45="",B45=""),N(E45)=0),"",G45/E45)</f>
        <v/>
      </c>
      <c r="I45" s="10" t="inlineStr">
        <is>
          <t>Si vos statuts en prévoient</t>
        </is>
      </c>
      <c r="J45" s="18">
        <f>IF(A45="","",IFERROR(VLOOKUP(LEFT(A45,3),Paramètres!$A$18:$B$34,2,0),IFERROR(VLOOKUP(LEFT(A45,2),Paramètres!$A$18:$B$34,2,0),"Compte à vérifier")))</f>
        <v/>
      </c>
      <c r="K45" s="18">
        <f>IF(A45="",IF(N(F45)+N(E45)=0,"","Compte à saisir"),IF(LEFT(A45,1)&lt;&gt;"7","Compte de produit attendu (7…)",IF(I45&lt;&gt;"","",IF(N(E45)=0,IF(N(F45)=0,"","Nouvelle ligne à commenter"),IF(ABS(G45/E45)&gt;Paramètres!$B$14,"Écart à commenter","")))))</f>
        <v/>
      </c>
    </row>
    <row r="46">
      <c r="A46" s="10" t="n">
        <v>7543</v>
      </c>
      <c r="B46" s="10" t="inlineStr">
        <is>
          <t>Legs et donations</t>
        </is>
      </c>
      <c r="C46" s="13" t="n">
        <v>0</v>
      </c>
      <c r="D46" s="13" t="n">
        <v>0</v>
      </c>
      <c r="E46" s="21">
        <f>IF(AND(A46="",B46=""),"",N(C46)+N(D46))</f>
        <v/>
      </c>
      <c r="F46" s="13" t="n">
        <v>0</v>
      </c>
      <c r="G46" s="22">
        <f>IF(AND(A46="",B46=""),"",N(F46)-N(E46))</f>
        <v/>
      </c>
      <c r="H46" s="23">
        <f>IF(OR(AND(A46="",B46=""),N(E46)=0),"",G46/E46)</f>
        <v/>
      </c>
      <c r="I46" s="10" t="inlineStr">
        <is>
          <t>Uniquement un legs déjà accepté</t>
        </is>
      </c>
      <c r="J46" s="18">
        <f>IF(A46="","",IFERROR(VLOOKUP(LEFT(A46,3),Paramètres!$A$18:$B$34,2,0),IFERROR(VLOOKUP(LEFT(A46,2),Paramètres!$A$18:$B$34,2,0),"Compte à vérifier")))</f>
        <v/>
      </c>
      <c r="K46" s="18">
        <f>IF(A46="",IF(N(F46)+N(E46)=0,"","Compte à saisir"),IF(LEFT(A46,1)&lt;&gt;"7","Compte de produit attendu (7…)",IF(I46&lt;&gt;"","",IF(N(E46)=0,IF(N(F46)=0,"","Nouvelle ligne à commenter"),IF(ABS(G46/E46)&gt;Paramètres!$B$14,"Écart à commenter","")))))</f>
        <v/>
      </c>
    </row>
    <row r="47">
      <c r="A47" s="24" t="n"/>
      <c r="B47" s="24" t="n"/>
      <c r="C47" s="25" t="n"/>
      <c r="D47" s="25" t="n"/>
      <c r="E47" s="21">
        <f>IF(AND(A47="",B47=""),"",N(C47)+N(D47))</f>
        <v/>
      </c>
      <c r="F47" s="25" t="n"/>
      <c r="G47" s="22">
        <f>IF(AND(A47="",B47=""),"",N(F47)-N(E47))</f>
        <v/>
      </c>
      <c r="H47" s="23">
        <f>IF(OR(AND(A47="",B47=""),N(E47)=0),"",G47/E47)</f>
        <v/>
      </c>
      <c r="I47" s="24" t="n"/>
      <c r="J47" s="18">
        <f>IF(A47="","",IFERROR(VLOOKUP(LEFT(A47,3),Paramètres!$A$18:$B$34,2,0),IFERROR(VLOOKUP(LEFT(A47,2),Paramètres!$A$18:$B$34,2,0),"Compte à vérifier")))</f>
        <v/>
      </c>
      <c r="K47" s="18">
        <f>IF(A47="",IF(N(F47)+N(E47)=0,"","Compte à saisir"),IF(LEFT(A47,1)&lt;&gt;"7","Compte de produit attendu (7…)",IF(I47&lt;&gt;"","",IF(N(E47)=0,IF(N(F47)=0,"","Nouvelle ligne à commenter"),IF(ABS(G47/E47)&gt;Paramètres!$B$14,"Écart à commenter","")))))</f>
        <v/>
      </c>
    </row>
    <row r="48">
      <c r="A48" s="24" t="n"/>
      <c r="B48" s="24" t="n"/>
      <c r="C48" s="25" t="n"/>
      <c r="D48" s="25" t="n"/>
      <c r="E48" s="21">
        <f>IF(AND(A48="",B48=""),"",N(C48)+N(D48))</f>
        <v/>
      </c>
      <c r="F48" s="25" t="n"/>
      <c r="G48" s="22">
        <f>IF(AND(A48="",B48=""),"",N(F48)-N(E48))</f>
        <v/>
      </c>
      <c r="H48" s="23">
        <f>IF(OR(AND(A48="",B48=""),N(E48)=0),"",G48/E48)</f>
        <v/>
      </c>
      <c r="I48" s="24" t="n"/>
      <c r="J48" s="18">
        <f>IF(A48="","",IFERROR(VLOOKUP(LEFT(A48,3),Paramètres!$A$18:$B$34,2,0),IFERROR(VLOOKUP(LEFT(A48,2),Paramètres!$A$18:$B$34,2,0),"Compte à vérifier")))</f>
        <v/>
      </c>
      <c r="K48" s="18">
        <f>IF(A48="",IF(N(F48)+N(E48)=0,"","Compte à saisir"),IF(LEFT(A48,1)&lt;&gt;"7","Compte de produit attendu (7…)",IF(I48&lt;&gt;"","",IF(N(E48)=0,IF(N(F48)=0,"","Nouvelle ligne à commenter"),IF(ABS(G48/E48)&gt;Paramètres!$B$14,"Écart à commenter","")))))</f>
        <v/>
      </c>
    </row>
    <row r="49">
      <c r="A49" s="24" t="n"/>
      <c r="B49" s="24" t="n"/>
      <c r="C49" s="25" t="n"/>
      <c r="D49" s="25" t="n"/>
      <c r="E49" s="21">
        <f>IF(AND(A49="",B49=""),"",N(C49)+N(D49))</f>
        <v/>
      </c>
      <c r="F49" s="25" t="n"/>
      <c r="G49" s="22">
        <f>IF(AND(A49="",B49=""),"",N(F49)-N(E49))</f>
        <v/>
      </c>
      <c r="H49" s="23">
        <f>IF(OR(AND(A49="",B49=""),N(E49)=0),"",G49/E49)</f>
        <v/>
      </c>
      <c r="I49" s="24" t="n"/>
      <c r="J49" s="18">
        <f>IF(A49="","",IFERROR(VLOOKUP(LEFT(A49,3),Paramètres!$A$18:$B$34,2,0),IFERROR(VLOOKUP(LEFT(A49,2),Paramètres!$A$18:$B$34,2,0),"Compte à vérifier")))</f>
        <v/>
      </c>
      <c r="K49" s="18">
        <f>IF(A49="",IF(N(F49)+N(E49)=0,"","Compte à saisir"),IF(LEFT(A49,1)&lt;&gt;"7","Compte de produit attendu (7…)",IF(I49&lt;&gt;"","",IF(N(E49)=0,IF(N(F49)=0,"","Nouvelle ligne à commenter"),IF(ABS(G49/E49)&gt;Paramètres!$B$14,"Écart à commenter","")))))</f>
        <v/>
      </c>
    </row>
    <row r="50">
      <c r="A50" s="24" t="n"/>
      <c r="B50" s="24" t="n"/>
      <c r="C50" s="25" t="n"/>
      <c r="D50" s="25" t="n"/>
      <c r="E50" s="21">
        <f>IF(AND(A50="",B50=""),"",N(C50)+N(D50))</f>
        <v/>
      </c>
      <c r="F50" s="25" t="n"/>
      <c r="G50" s="22">
        <f>IF(AND(A50="",B50=""),"",N(F50)-N(E50))</f>
        <v/>
      </c>
      <c r="H50" s="23">
        <f>IF(OR(AND(A50="",B50=""),N(E50)=0),"",G50/E50)</f>
        <v/>
      </c>
      <c r="I50" s="24" t="n"/>
      <c r="J50" s="18">
        <f>IF(A50="","",IFERROR(VLOOKUP(LEFT(A50,3),Paramètres!$A$18:$B$34,2,0),IFERROR(VLOOKUP(LEFT(A50,2),Paramètres!$A$18:$B$34,2,0),"Compte à vérifier")))</f>
        <v/>
      </c>
      <c r="K50" s="18">
        <f>IF(A50="",IF(N(F50)+N(E50)=0,"","Compte à saisir"),IF(LEFT(A50,1)&lt;&gt;"7","Compte de produit attendu (7…)",IF(I50&lt;&gt;"","",IF(N(E50)=0,IF(N(F50)=0,"","Nouvelle ligne à commenter"),IF(ABS(G50/E50)&gt;Paramètres!$B$14,"Écart à commenter","")))))</f>
        <v/>
      </c>
    </row>
    <row r="51">
      <c r="A51" s="24" t="n"/>
      <c r="B51" s="24" t="n"/>
      <c r="C51" s="25" t="n"/>
      <c r="D51" s="25" t="n"/>
      <c r="E51" s="21">
        <f>IF(AND(A51="",B51=""),"",N(C51)+N(D51))</f>
        <v/>
      </c>
      <c r="F51" s="25" t="n"/>
      <c r="G51" s="22">
        <f>IF(AND(A51="",B51=""),"",N(F51)-N(E51))</f>
        <v/>
      </c>
      <c r="H51" s="23">
        <f>IF(OR(AND(A51="",B51=""),N(E51)=0),"",G51/E51)</f>
        <v/>
      </c>
      <c r="I51" s="24" t="n"/>
      <c r="J51" s="18">
        <f>IF(A51="","",IFERROR(VLOOKUP(LEFT(A51,3),Paramètres!$A$18:$B$34,2,0),IFERROR(VLOOKUP(LEFT(A51,2),Paramètres!$A$18:$B$34,2,0),"Compte à vérifier")))</f>
        <v/>
      </c>
      <c r="K51" s="18">
        <f>IF(A51="",IF(N(F51)+N(E51)=0,"","Compte à saisir"),IF(LEFT(A51,1)&lt;&gt;"7","Compte de produit attendu (7…)",IF(I51&lt;&gt;"","",IF(N(E51)=0,IF(N(F51)=0,"","Nouvelle ligne à commenter"),IF(ABS(G51/E51)&gt;Paramètres!$B$14,"Écart à commenter","")))))</f>
        <v/>
      </c>
    </row>
    <row r="52">
      <c r="A52" s="24" t="n"/>
      <c r="B52" s="24" t="n"/>
      <c r="C52" s="25" t="n"/>
      <c r="D52" s="25" t="n"/>
      <c r="E52" s="21">
        <f>IF(AND(A52="",B52=""),"",N(C52)+N(D52))</f>
        <v/>
      </c>
      <c r="F52" s="25" t="n"/>
      <c r="G52" s="22">
        <f>IF(AND(A52="",B52=""),"",N(F52)-N(E52))</f>
        <v/>
      </c>
      <c r="H52" s="23">
        <f>IF(OR(AND(A52="",B52=""),N(E52)=0),"",G52/E52)</f>
        <v/>
      </c>
      <c r="I52" s="24" t="n"/>
      <c r="J52" s="18">
        <f>IF(A52="","",IFERROR(VLOOKUP(LEFT(A52,3),Paramètres!$A$18:$B$34,2,0),IFERROR(VLOOKUP(LEFT(A52,2),Paramètres!$A$18:$B$34,2,0),"Compte à vérifier")))</f>
        <v/>
      </c>
      <c r="K52" s="18">
        <f>IF(A52="",IF(N(F52)+N(E52)=0,"","Compte à saisir"),IF(LEFT(A52,1)&lt;&gt;"7","Compte de produit attendu (7…)",IF(I52&lt;&gt;"","",IF(N(E52)=0,IF(N(F52)=0,"","Nouvelle ligne à commenter"),IF(ABS(G52/E52)&gt;Paramètres!$B$14,"Écart à commenter","")))))</f>
        <v/>
      </c>
    </row>
    <row r="53">
      <c r="A53" s="24" t="n"/>
      <c r="B53" s="24" t="n"/>
      <c r="C53" s="25" t="n"/>
      <c r="D53" s="25" t="n"/>
      <c r="E53" s="21">
        <f>IF(AND(A53="",B53=""),"",N(C53)+N(D53))</f>
        <v/>
      </c>
      <c r="F53" s="25" t="n"/>
      <c r="G53" s="22">
        <f>IF(AND(A53="",B53=""),"",N(F53)-N(E53))</f>
        <v/>
      </c>
      <c r="H53" s="23">
        <f>IF(OR(AND(A53="",B53=""),N(E53)=0),"",G53/E53)</f>
        <v/>
      </c>
      <c r="I53" s="24" t="n"/>
      <c r="J53" s="18">
        <f>IF(A53="","",IFERROR(VLOOKUP(LEFT(A53,3),Paramètres!$A$18:$B$34,2,0),IFERROR(VLOOKUP(LEFT(A53,2),Paramètres!$A$18:$B$34,2,0),"Compte à vérifier")))</f>
        <v/>
      </c>
      <c r="K53" s="18">
        <f>IF(A53="",IF(N(F53)+N(E53)=0,"","Compte à saisir"),IF(LEFT(A53,1)&lt;&gt;"7","Compte de produit attendu (7…)",IF(I53&lt;&gt;"","",IF(N(E53)=0,IF(N(F53)=0,"","Nouvelle ligne à commenter"),IF(ABS(G53/E53)&gt;Paramètres!$B$14,"Écart à commenter","")))))</f>
        <v/>
      </c>
    </row>
    <row r="54">
      <c r="A54" s="24" t="n"/>
      <c r="B54" s="24" t="n"/>
      <c r="C54" s="25" t="n"/>
      <c r="D54" s="25" t="n"/>
      <c r="E54" s="21">
        <f>IF(AND(A54="",B54=""),"",N(C54)+N(D54))</f>
        <v/>
      </c>
      <c r="F54" s="25" t="n"/>
      <c r="G54" s="22">
        <f>IF(AND(A54="",B54=""),"",N(F54)-N(E54))</f>
        <v/>
      </c>
      <c r="H54" s="23">
        <f>IF(OR(AND(A54="",B54=""),N(E54)=0),"",G54/E54)</f>
        <v/>
      </c>
      <c r="I54" s="24" t="n"/>
      <c r="J54" s="18">
        <f>IF(A54="","",IFERROR(VLOOKUP(LEFT(A54,3),Paramètres!$A$18:$B$34,2,0),IFERROR(VLOOKUP(LEFT(A54,2),Paramètres!$A$18:$B$34,2,0),"Compte à vérifier")))</f>
        <v/>
      </c>
      <c r="K54" s="18">
        <f>IF(A54="",IF(N(F54)+N(E54)=0,"","Compte à saisir"),IF(LEFT(A54,1)&lt;&gt;"7","Compte de produit attendu (7…)",IF(I54&lt;&gt;"","",IF(N(E54)=0,IF(N(F54)=0,"","Nouvelle ligne à commenter"),IF(ABS(G54/E54)&gt;Paramètres!$B$14,"Écart à commenter","")))))</f>
        <v/>
      </c>
    </row>
    <row r="55">
      <c r="A55" s="24" t="n"/>
      <c r="B55" s="24" t="n"/>
      <c r="C55" s="25" t="n"/>
      <c r="D55" s="25" t="n"/>
      <c r="E55" s="21">
        <f>IF(AND(A55="",B55=""),"",N(C55)+N(D55))</f>
        <v/>
      </c>
      <c r="F55" s="25" t="n"/>
      <c r="G55" s="22">
        <f>IF(AND(A55="",B55=""),"",N(F55)-N(E55))</f>
        <v/>
      </c>
      <c r="H55" s="23">
        <f>IF(OR(AND(A55="",B55=""),N(E55)=0),"",G55/E55)</f>
        <v/>
      </c>
      <c r="I55" s="24" t="n"/>
      <c r="J55" s="18">
        <f>IF(A55="","",IFERROR(VLOOKUP(LEFT(A55,3),Paramètres!$A$18:$B$34,2,0),IFERROR(VLOOKUP(LEFT(A55,2),Paramètres!$A$18:$B$34,2,0),"Compte à vérifier")))</f>
        <v/>
      </c>
      <c r="K55" s="18">
        <f>IF(A55="",IF(N(F55)+N(E55)=0,"","Compte à saisir"),IF(LEFT(A55,1)&lt;&gt;"7","Compte de produit attendu (7…)",IF(I55&lt;&gt;"","",IF(N(E55)=0,IF(N(F55)=0,"","Nouvelle ligne à commenter"),IF(ABS(G55/E55)&gt;Paramètres!$B$14,"Écart à commenter","")))))</f>
        <v/>
      </c>
    </row>
    <row r="56">
      <c r="A56" s="19" t="inlineStr">
        <is>
          <t>Total des produits</t>
        </is>
      </c>
      <c r="B56" s="20" t="n"/>
      <c r="C56" s="26">
        <f>SUM(C41:C55)</f>
        <v/>
      </c>
      <c r="D56" s="26">
        <f>SUM(D41:D55)</f>
        <v/>
      </c>
      <c r="E56" s="26">
        <f>SUM(E41:E55)</f>
        <v/>
      </c>
      <c r="F56" s="26">
        <f>SUM(F41:F55)</f>
        <v/>
      </c>
      <c r="G56" s="27">
        <f>SUM(G41:G55)</f>
        <v/>
      </c>
      <c r="H56" s="28">
        <f>IF(E56=0,"",G56/E56)</f>
        <v/>
      </c>
      <c r="I56" s="20" t="n"/>
      <c r="J56" s="20" t="n"/>
      <c r="K56" s="20" t="n"/>
    </row>
    <row r="58">
      <c r="B58" s="15" t="inlineStr">
        <is>
          <t>RÉSULTAT (produits – charges)</t>
        </is>
      </c>
      <c r="C58" s="29">
        <f>C56-C38</f>
        <v/>
      </c>
      <c r="D58" s="29">
        <f>D56-D38</f>
        <v/>
      </c>
      <c r="E58" s="29">
        <f>E56-E38</f>
        <v/>
      </c>
      <c r="F58" s="29">
        <f>F56-F38</f>
        <v/>
      </c>
      <c r="G58" s="30">
        <f>F58-E58</f>
        <v/>
      </c>
      <c r="I58" s="9">
        <f>IF(F58&gt;0,"Excédent prévisionnel",IF(F58=0,"Budget équilibré","Déficit prévisionnel : à décider et à financer par la trésorerie disponible"))</f>
        <v/>
      </c>
    </row>
    <row r="60">
      <c r="A60" s="4" t="inlineStr">
        <is>
          <t>Réalisé estimé = réalisé à la date d’arrêté (grand livre) + reste à réaliser estimé jusqu’au 31 décembre. Pour les dons, utilisez la part de novembre et décembre de l’an dernier.</t>
        </is>
      </c>
    </row>
    <row r="61">
      <c r="A61" s="4" t="inlineStr">
        <is>
          <t>Le capital remboursé des emprunts et les achats d’immobilisations ne se saisissent pas ici : onglet « Investissements et financement ».</t>
        </is>
      </c>
    </row>
    <row r="62">
      <c r="A62" s="4" t="inlineStr">
        <is>
          <t>Ajoutez des lignes de détail si besoin (un même compte peut figurer sur plusieurs lignes, comme le compte 6571 dans l’exemple).</t>
        </is>
      </c>
    </row>
    <row r="64">
      <c r="A64" s="7" t="inlineStr">
        <is>
          <t>Modèle fourni à titre indicatif, à adapter à votre situation. Ne constitue pas une consultation individualisée. Textes vérifiés le 9 octobre 2026 (loi du 9 décembre 1905, art. 19, 21 et 23 ; décret du 16 mars 1906, art. 32-1).</t>
        </is>
      </c>
    </row>
    <row r="65">
      <c r="A65" s="8" t="inlineStr">
        <is>
          <t>Samuel PETE — Mon Asso Cultuelle — N01 Budget prévisionnel annuel — version 2026-10 — monassocultuelle.com</t>
        </is>
      </c>
    </row>
  </sheetData>
  <conditionalFormatting sqref="K8:K55">
    <cfRule type="expression" priority="1" dxfId="0">
      <formula>LEN(K8)&gt;0</formula>
    </cfRule>
  </conditionalFormatting>
  <conditionalFormatting sqref="J8:J55">
    <cfRule type="expression" priority="2" dxfId="0">
      <formula>J8="Compte à vérifier"</formula>
    </cfRule>
  </conditionalFormatting>
  <conditionalFormatting sqref="I58">
    <cfRule type="expression" priority="3" dxfId="0">
      <formula>LEFT(I58,7)="Déficit"</formula>
    </cfRule>
  </conditionalFormatting>
  <pageMargins left="0.75" right="0.75" top="1" bottom="1" header="0.5" footer="0.5"/>
  <pageSetup orientation="landscape" fitToHeight="0" fitToWidth="1"/>
  <headerFooter>
    <oddHeader/>
    <oddFooter>&amp;CSamuel PETE — Mon Asso Cultuelle — N01 — monassocultuelle.com</oddFooter>
    <evenHeader/>
    <evenFooter/>
    <firstHeader/>
    <firstFooter/>
  </headerFooter>
</worksheet>
</file>

<file path=xl/worksheets/sheet4.xml><?xml version="1.0" encoding="utf-8"?>
<worksheet xmlns="http://schemas.openxmlformats.org/spreadsheetml/2006/main">
  <sheetPr>
    <outlinePr summaryBelow="1" summaryRight="1"/>
    <pageSetUpPr fitToPage="1"/>
  </sheetPr>
  <dimension ref="A1:E42"/>
  <sheetViews>
    <sheetView showGridLines="0" workbookViewId="0">
      <selection activeCell="A1" sqref="A1"/>
    </sheetView>
  </sheetViews>
  <sheetFormatPr baseColWidth="8" defaultRowHeight="15"/>
  <cols>
    <col width="12" customWidth="1" min="1" max="1"/>
    <col width="50" customWidth="1" min="2" max="2"/>
    <col width="18" customWidth="1" min="3" max="3"/>
    <col width="18" customWidth="1" min="4" max="4"/>
    <col width="56" customWidth="1" min="5" max="5"/>
  </cols>
  <sheetData>
    <row r="1">
      <c r="A1" s="1" t="inlineStr">
        <is>
          <t>OUTIL N01 · MON ASSO CULTUELLE</t>
        </is>
      </c>
    </row>
    <row r="2">
      <c r="A2" s="2" t="inlineStr">
        <is>
          <t>Investissements et financement</t>
        </is>
      </c>
    </row>
    <row r="3">
      <c r="A3" s="3" t="inlineStr">
        <is>
          <t>Ce ne sont pas des charges : achats d’immobilisations et capital remboursé des emprunts, avec les ressources qui les financent.</t>
        </is>
      </c>
    </row>
    <row r="4">
      <c r="A4" s="4" t="inlineStr">
        <is>
          <t>Légende : cellules jaunes = à remplir ; cellules blanches = calcul automatique ; ligne en gris italique = exemple à effacer.</t>
        </is>
      </c>
    </row>
    <row r="6" ht="30" customHeight="1">
      <c r="A6" s="16" t="inlineStr">
        <is>
          <t>Compte</t>
        </is>
      </c>
      <c r="B6" s="16" t="inlineStr">
        <is>
          <t>Description</t>
        </is>
      </c>
      <c r="C6" s="16">
        <f>"Réalisé "&amp;Paramètres!$B$8&amp;" estimé"</f>
        <v/>
      </c>
      <c r="D6" s="16">
        <f>"Budget "&amp;Paramètres!$B$7</f>
        <v/>
      </c>
      <c r="E6" s="16" t="inlineStr">
        <is>
          <t>Commentaire / mode de financement</t>
        </is>
      </c>
    </row>
    <row r="7">
      <c r="A7" s="19" t="inlineStr">
        <is>
          <t>A. Investissements (achats d’immobilisations, comptes 20 et 21)</t>
        </is>
      </c>
      <c r="B7" s="20" t="n"/>
      <c r="C7" s="20" t="n"/>
      <c r="D7" s="20" t="n"/>
      <c r="E7" s="20" t="n"/>
    </row>
    <row r="8">
      <c r="A8" s="10" t="n">
        <v>2188</v>
      </c>
      <c r="B8" s="10" t="inlineStr">
        <is>
          <t>Vidéoprojecteurs et écrans de la salle de culte</t>
        </is>
      </c>
      <c r="C8" s="13" t="n">
        <v>12000</v>
      </c>
      <c r="D8" s="13" t="n">
        <v>0</v>
      </c>
      <c r="E8" s="10" t="inlineStr">
        <is>
          <t>Payés sur la trésorerie en 2026</t>
        </is>
      </c>
    </row>
    <row r="9">
      <c r="A9" s="10" t="n">
        <v>2135</v>
      </c>
      <c r="B9" s="10" t="inlineStr">
        <is>
          <t>Remplacement de la chaudière</t>
        </is>
      </c>
      <c r="C9" s="13" t="n">
        <v>0</v>
      </c>
      <c r="D9" s="13" t="n">
        <v>32000</v>
      </c>
      <c r="E9" s="10" t="inlineStr">
        <is>
          <t>Devis reçu ; autofinancement</t>
        </is>
      </c>
    </row>
    <row r="10">
      <c r="A10" s="10" t="n">
        <v>2188</v>
      </c>
      <c r="B10" s="10" t="inlineStr">
        <is>
          <t>Sonorisation et captation vidéo</t>
        </is>
      </c>
      <c r="C10" s="13" t="n">
        <v>0</v>
      </c>
      <c r="D10" s="13" t="n">
        <v>18000</v>
      </c>
      <c r="E10" s="10" t="inlineStr">
        <is>
          <t>Deux devis à comparer ; autofinancement</t>
        </is>
      </c>
    </row>
    <row r="11">
      <c r="A11" s="24" t="n"/>
      <c r="B11" s="24" t="n"/>
      <c r="C11" s="25" t="n"/>
      <c r="D11" s="25" t="n"/>
      <c r="E11" s="24" t="n"/>
    </row>
    <row r="12">
      <c r="A12" s="24" t="n"/>
      <c r="B12" s="24" t="n"/>
      <c r="C12" s="25" t="n"/>
      <c r="D12" s="25" t="n"/>
      <c r="E12" s="24" t="n"/>
    </row>
    <row r="13">
      <c r="A13" s="24" t="n"/>
      <c r="B13" s="24" t="n"/>
      <c r="C13" s="25" t="n"/>
      <c r="D13" s="25" t="n"/>
      <c r="E13" s="24" t="n"/>
    </row>
    <row r="14">
      <c r="A14" s="24" t="n"/>
      <c r="B14" s="24" t="n"/>
      <c r="C14" s="25" t="n"/>
      <c r="D14" s="25" t="n"/>
      <c r="E14" s="24" t="n"/>
    </row>
    <row r="15">
      <c r="A15" s="24" t="n"/>
      <c r="B15" s="24" t="n"/>
      <c r="C15" s="25" t="n"/>
      <c r="D15" s="25" t="n"/>
      <c r="E15" s="24" t="n"/>
    </row>
    <row r="16">
      <c r="A16" s="19" t="inlineStr">
        <is>
          <t>Total des investissements</t>
        </is>
      </c>
      <c r="B16" s="20" t="n"/>
      <c r="C16" s="26">
        <f>SUM(C8:C15)</f>
        <v/>
      </c>
      <c r="D16" s="26">
        <f>SUM(D8:D15)</f>
        <v/>
      </c>
      <c r="E16" s="20" t="n"/>
    </row>
    <row r="18">
      <c r="A18" s="19" t="inlineStr">
        <is>
          <t>B. Remboursement du capital des emprunts (comptes 16) : pas une charge</t>
        </is>
      </c>
      <c r="B18" s="20" t="n"/>
      <c r="C18" s="20" t="n"/>
      <c r="D18" s="20" t="n"/>
      <c r="E18" s="20" t="n"/>
    </row>
    <row r="19">
      <c r="A19" s="10" t="n">
        <v>1641</v>
      </c>
      <c r="B19" s="10" t="inlineStr">
        <is>
          <t>Emprunt bancaire du lieu de culte (dernière échéance en 2036)</t>
        </is>
      </c>
      <c r="C19" s="13" t="n">
        <v>25400</v>
      </c>
      <c r="D19" s="13" t="n">
        <v>26000</v>
      </c>
      <c r="E19" s="10" t="inlineStr">
        <is>
          <t>Tableau d’amortissement de la banque : capital seulement, les intérêts sont en 661</t>
        </is>
      </c>
    </row>
    <row r="20">
      <c r="A20" s="24" t="n"/>
      <c r="B20" s="24" t="n"/>
      <c r="C20" s="25" t="n"/>
      <c r="D20" s="25" t="n"/>
      <c r="E20" s="24" t="n"/>
    </row>
    <row r="21">
      <c r="A21" s="24" t="n"/>
      <c r="B21" s="24" t="n"/>
      <c r="C21" s="25" t="n"/>
      <c r="D21" s="25" t="n"/>
      <c r="E21" s="24" t="n"/>
    </row>
    <row r="22">
      <c r="A22" s="24" t="n"/>
      <c r="B22" s="24" t="n"/>
      <c r="C22" s="25" t="n"/>
      <c r="D22" s="25" t="n"/>
      <c r="E22" s="24" t="n"/>
    </row>
    <row r="23">
      <c r="A23" s="19" t="inlineStr">
        <is>
          <t>Total du capital remboursé</t>
        </is>
      </c>
      <c r="B23" s="20" t="n"/>
      <c r="C23" s="26">
        <f>SUM(C19:C22)</f>
        <v/>
      </c>
      <c r="D23" s="26">
        <f>SUM(D19:D22)</f>
        <v/>
      </c>
      <c r="E23" s="20" t="n"/>
    </row>
    <row r="25">
      <c r="A25" s="19" t="inlineStr">
        <is>
          <t>C. Financement et variation de trésorerie (calculs)</t>
        </is>
      </c>
      <c r="B25" s="20" t="n"/>
      <c r="C25" s="20" t="n"/>
      <c r="D25" s="20" t="n"/>
      <c r="E25" s="20" t="n"/>
    </row>
    <row r="26">
      <c r="B26" s="18" t="inlineStr">
        <is>
          <t>Résultat prévisionnel</t>
        </is>
      </c>
      <c r="C26" s="31">
        <f>'Budget de fonctionnement'!E58</f>
        <v/>
      </c>
      <c r="D26" s="31">
        <f>'Budget de fonctionnement'!F58</f>
        <v/>
      </c>
    </row>
    <row r="27">
      <c r="B27" s="18" t="inlineStr">
        <is>
          <t>+ dotations aux amortissements, provisions et fonds dédiés (68)</t>
        </is>
      </c>
      <c r="C27" s="21">
        <f>SUMIF('Budget de fonctionnement'!$J$8:$J$37,"Dotations aux amortissements, provisions et fonds dédiés (68)",'Budget de fonctionnement'!E$8:E$37)</f>
        <v/>
      </c>
      <c r="D27" s="21">
        <f>SUMIF('Budget de fonctionnement'!$J$8:$J$37,"Dotations aux amortissements, provisions et fonds dédiés (68)",'Budget de fonctionnement'!F$8:F$37)</f>
        <v/>
      </c>
    </row>
    <row r="28">
      <c r="B28" s="18" t="inlineStr">
        <is>
          <t>– reprises et utilisations de fonds dédiés (78)</t>
        </is>
      </c>
      <c r="C28" s="21">
        <f>SUMIF('Budget de fonctionnement'!$J$41:$J$55,"Reprises et utilisations de fonds dédiés (78)",'Budget de fonctionnement'!E$41:E$55)</f>
        <v/>
      </c>
      <c r="D28" s="21">
        <f>SUMIF('Budget de fonctionnement'!$J$41:$J$55,"Reprises et utilisations de fonds dédiés (78)",'Budget de fonctionnement'!F$41:F$55)</f>
        <v/>
      </c>
    </row>
    <row r="29">
      <c r="B29" s="32" t="inlineStr">
        <is>
          <t>Capacité d’autofinancement (CAF)</t>
        </is>
      </c>
      <c r="C29" s="33">
        <f>C26+C27-C28</f>
        <v/>
      </c>
      <c r="D29" s="33">
        <f>D26+D27-D28</f>
        <v/>
      </c>
    </row>
    <row r="30">
      <c r="B30" s="18" t="inlineStr">
        <is>
          <t>+ nouveaux emprunts ou prêts (dont prêt d’une association de la même union)</t>
        </is>
      </c>
      <c r="C30" s="13" t="n">
        <v>0</v>
      </c>
      <c r="D30" s="13" t="n">
        <v>0</v>
      </c>
    </row>
    <row r="31">
      <c r="B31" s="18" t="inlineStr">
        <is>
          <t>+ autres ressources d’investissement (prix de cession…)</t>
        </is>
      </c>
      <c r="C31" s="13" t="n">
        <v>0</v>
      </c>
      <c r="D31" s="13" t="n">
        <v>0</v>
      </c>
    </row>
    <row r="32">
      <c r="B32" s="18" t="inlineStr">
        <is>
          <t>– investissements (A)</t>
        </is>
      </c>
      <c r="C32" s="21">
        <f>C16</f>
        <v/>
      </c>
      <c r="D32" s="21">
        <f>D16</f>
        <v/>
      </c>
    </row>
    <row r="33">
      <c r="B33" s="18" t="inlineStr">
        <is>
          <t>– capital remboursé (B)</t>
        </is>
      </c>
      <c r="C33" s="21">
        <f>C23</f>
        <v/>
      </c>
      <c r="D33" s="21">
        <f>D23</f>
        <v/>
      </c>
    </row>
    <row r="34">
      <c r="B34" s="32" t="inlineStr">
        <is>
          <t>Variation de trésorerie prévisionnelle</t>
        </is>
      </c>
      <c r="C34" s="33">
        <f>C29+C30+C31-C32-C33</f>
        <v/>
      </c>
      <c r="D34" s="33">
        <f>D29+D30+D31-D32-D33</f>
        <v/>
      </c>
    </row>
    <row r="35">
      <c r="B35" s="9" t="inlineStr">
        <is>
          <t>La CAF couvre-t-elle le capital remboursé ?</t>
        </is>
      </c>
      <c r="C35" s="9">
        <f>IF(C29&gt;=C33,"Oui","Non")</f>
        <v/>
      </c>
      <c r="D35" s="9">
        <f>IF(D29&gt;=D33,"Oui","Non")</f>
        <v/>
      </c>
    </row>
    <row r="37">
      <c r="A37" s="4" t="inlineStr">
        <is>
          <t>CAF : ce que le fonctionnement dégage pour rembourser l’emprunt et investir. Les amortissements sont une charge qui ne se paie pas : on les rajoute au résultat.</t>
        </is>
      </c>
    </row>
    <row r="38">
      <c r="A38" s="4" t="inlineStr">
        <is>
          <t>Calcul simplifié, sans décalages de paiement (dettes fournisseurs, dons à recevoir). Le plan de trésorerie mensuel les intègre.</t>
        </is>
      </c>
    </row>
    <row r="39">
      <c r="A39" s="4" t="inlineStr">
        <is>
          <t>Dons affectés à un projet : la part non dépensée reste en fonds dédiés et la trésorerie doit la couvrir en permanence ; ne l’utilisez pas pour équilibrer le budget.</t>
        </is>
      </c>
    </row>
    <row r="41">
      <c r="A41" s="7" t="inlineStr">
        <is>
          <t>Modèle fourni à titre indicatif, à adapter à votre situation. Ne constitue pas une consultation individualisée. Textes vérifiés le 9 octobre 2026 (loi du 9 décembre 1905, art. 19, 21 et 23 ; décret du 16 mars 1906, art. 32-1).</t>
        </is>
      </c>
    </row>
    <row r="42">
      <c r="A42" s="8" t="inlineStr">
        <is>
          <t>Samuel PETE — Mon Asso Cultuelle — N01 Budget prévisionnel annuel — version 2026-10 — monassocultuelle.com</t>
        </is>
      </c>
    </row>
  </sheetData>
  <conditionalFormatting sqref="C35:D35">
    <cfRule type="expression" priority="1" dxfId="0">
      <formula>C35="Non"</formula>
    </cfRule>
  </conditionalFormatting>
  <conditionalFormatting sqref="C34:D34">
    <cfRule type="expression" priority="2" dxfId="1">
      <formula>C34&lt;0</formula>
    </cfRule>
  </conditionalFormatting>
  <pageMargins left="0.75" right="0.75" top="1" bottom="1" header="0.5" footer="0.5"/>
  <pageSetup orientation="landscape" fitToHeight="0" fitToWidth="1"/>
  <headerFooter>
    <oddHeader/>
    <oddFooter>&amp;CSamuel PETE — Mon Asso Cultuelle — N01 — monassocultuelle.com</oddFooter>
    <evenHeader/>
    <evenFooter/>
    <firstHeader/>
    <firstFooter/>
  </headerFooter>
</worksheet>
</file>

<file path=xl/worksheets/sheet5.xml><?xml version="1.0" encoding="utf-8"?>
<worksheet xmlns="http://schemas.openxmlformats.org/spreadsheetml/2006/main">
  <sheetPr>
    <outlinePr summaryBelow="1" summaryRight="1"/>
    <pageSetUpPr fitToPage="1"/>
  </sheetPr>
  <dimension ref="A1:D31"/>
  <sheetViews>
    <sheetView showGridLines="0" workbookViewId="0">
      <selection activeCell="A1" sqref="A1"/>
    </sheetView>
  </sheetViews>
  <sheetFormatPr baseColWidth="8" defaultRowHeight="15"/>
  <cols>
    <col width="4" customWidth="1" min="1" max="1"/>
    <col width="64" customWidth="1" min="2" max="2"/>
    <col width="20" customWidth="1" min="3" max="3"/>
    <col width="20" customWidth="1" min="4" max="4"/>
  </cols>
  <sheetData>
    <row r="1">
      <c r="A1" s="1" t="inlineStr">
        <is>
          <t>OUTIL N01 · MON ASSO CULTUELLE</t>
        </is>
      </c>
    </row>
    <row r="2">
      <c r="A2" s="2" t="inlineStr">
        <is>
          <t>Synthèse</t>
        </is>
      </c>
    </row>
    <row r="3">
      <c r="A3" s="3" t="inlineStr">
        <is>
          <t>Calculée automatiquement. Colonne C : réalisé estimé de l’année en cours ; colonne D : budget de l’année suivante.</t>
        </is>
      </c>
    </row>
    <row r="4">
      <c r="A4" s="4" t="inlineStr">
        <is>
          <t>Légende : cellules jaunes = à remplir ; cellules blanches = calcul automatique ; ligne en gris italique = exemple à effacer.</t>
        </is>
      </c>
    </row>
    <row r="6" ht="30" customHeight="1">
      <c r="A6" s="16" t="inlineStr"/>
      <c r="B6" s="16" t="inlineStr">
        <is>
          <t>Indicateur</t>
        </is>
      </c>
      <c r="C6" s="16">
        <f>"Réalisé "&amp;Paramètres!$B$8&amp;" estimé"</f>
        <v/>
      </c>
      <c r="D6" s="16">
        <f>"Budget "&amp;Paramètres!$B$7</f>
        <v/>
      </c>
    </row>
    <row r="7">
      <c r="B7" s="18" t="inlineStr">
        <is>
          <t>Total des produits</t>
        </is>
      </c>
      <c r="C7" s="21">
        <f>'Budget de fonctionnement'!E56</f>
        <v/>
      </c>
      <c r="D7" s="21">
        <f>'Budget de fonctionnement'!F56</f>
        <v/>
      </c>
    </row>
    <row r="8">
      <c r="B8" s="18" t="inlineStr">
        <is>
          <t>Total des charges</t>
        </is>
      </c>
      <c r="C8" s="21">
        <f>'Budget de fonctionnement'!E38</f>
        <v/>
      </c>
      <c r="D8" s="21">
        <f>'Budget de fonctionnement'!F38</f>
        <v/>
      </c>
    </row>
    <row r="9">
      <c r="B9" s="32" t="inlineStr">
        <is>
          <t>Résultat prévisionnel</t>
        </is>
      </c>
      <c r="C9" s="33">
        <f>C7-C8</f>
        <v/>
      </c>
      <c r="D9" s="33">
        <f>D7-D8</f>
        <v/>
      </c>
    </row>
    <row r="10">
      <c r="B10" s="18" t="inlineStr">
        <is>
          <t>Situation</t>
        </is>
      </c>
      <c r="C10" s="18">
        <f>IF(C9&gt;0,"Excédent",IF(C9=0,"Équilibre","Déficit"))</f>
        <v/>
      </c>
      <c r="D10" s="18">
        <f>IF(D9&gt;0,"Excédent",IF(D9=0,"Équilibre","Déficit"))</f>
        <v/>
      </c>
    </row>
    <row r="11">
      <c r="B11" s="18" t="inlineStr">
        <is>
          <t>Capacité d’autofinancement (CAF)</t>
        </is>
      </c>
      <c r="C11" s="31">
        <f>'Investissements et financement'!C29</f>
        <v/>
      </c>
      <c r="D11" s="31">
        <f>'Investissements et financement'!D29</f>
        <v/>
      </c>
    </row>
    <row r="12">
      <c r="B12" s="18" t="inlineStr">
        <is>
          <t>Capital remboursé des emprunts</t>
        </is>
      </c>
      <c r="C12" s="21">
        <f>'Investissements et financement'!C23</f>
        <v/>
      </c>
      <c r="D12" s="21">
        <f>'Investissements et financement'!D23</f>
        <v/>
      </c>
    </row>
    <row r="13">
      <c r="B13" s="18" t="inlineStr">
        <is>
          <t>La CAF couvre-t-elle le capital remboursé ?</t>
        </is>
      </c>
      <c r="C13" s="18">
        <f>'Investissements et financement'!C35</f>
        <v/>
      </c>
      <c r="D13" s="18">
        <f>'Investissements et financement'!D35</f>
        <v/>
      </c>
    </row>
    <row r="14">
      <c r="B14" s="18" t="inlineStr">
        <is>
          <t>Investissements</t>
        </is>
      </c>
      <c r="C14" s="21">
        <f>'Investissements et financement'!C16</f>
        <v/>
      </c>
      <c r="D14" s="21">
        <f>'Investissements et financement'!D16</f>
        <v/>
      </c>
    </row>
    <row r="15">
      <c r="B15" s="32" t="inlineStr">
        <is>
          <t>Variation de trésorerie prévisionnelle</t>
        </is>
      </c>
      <c r="C15" s="33">
        <f>'Investissements et financement'!C34</f>
        <v/>
      </c>
      <c r="D15" s="33">
        <f>'Investissements et financement'!D34</f>
        <v/>
      </c>
    </row>
    <row r="16">
      <c r="B16" s="18" t="inlineStr">
        <is>
          <t>Trésorerie disponible au 1er janvier</t>
        </is>
      </c>
      <c r="C16" s="21" t="n"/>
      <c r="D16" s="21">
        <f>Paramètres!$B$12</f>
        <v/>
      </c>
    </row>
    <row r="17">
      <c r="B17" s="18" t="inlineStr">
        <is>
          <t>Trésorerie prévue au 31 décembre</t>
        </is>
      </c>
      <c r="C17" s="21" t="n"/>
      <c r="D17" s="21">
        <f>D16+D15</f>
        <v/>
      </c>
    </row>
    <row r="18">
      <c r="B18" s="18" t="inlineStr">
        <is>
          <t>– fonds dédiés non encore employés</t>
        </is>
      </c>
      <c r="C18" s="21" t="n"/>
      <c r="D18" s="21">
        <f>Paramètres!$B$13</f>
        <v/>
      </c>
    </row>
    <row r="19">
      <c r="B19" s="32" t="inlineStr">
        <is>
          <t>Trésorerie prévue après fonds dédiés</t>
        </is>
      </c>
      <c r="C19" s="33" t="n"/>
      <c r="D19" s="33">
        <f>D17-D18</f>
        <v/>
      </c>
    </row>
    <row r="20">
      <c r="B20" s="18" t="inlineStr">
        <is>
          <t>Dépenses courantes mensuelles (charges hors dotations 68) ÷ 12</t>
        </is>
      </c>
      <c r="C20" s="21">
        <f>(C8-'Investissements et financement'!C27)/12</f>
        <v/>
      </c>
      <c r="D20" s="21">
        <f>(D8-'Investissements et financement'!D27)/12</f>
        <v/>
      </c>
    </row>
    <row r="21">
      <c r="B21" s="18" t="inlineStr">
        <is>
          <t>Mois de dépenses courantes couverts en fin d’année</t>
        </is>
      </c>
      <c r="C21" s="34" t="n"/>
      <c r="D21" s="34">
        <f>IF(D20&gt;0,D19/D20,"")</f>
        <v/>
      </c>
    </row>
    <row r="22">
      <c r="B22" s="18" t="inlineStr">
        <is>
          <t>Part des dons, mécénat et legs (754) dans les produits</t>
        </is>
      </c>
      <c r="C22" s="35">
        <f>IF(C7=0,"",SUMIF('Budget de fonctionnement'!$J$41:$J$55,"Dons, mécénat, legs (754)",'Budget de fonctionnement'!E$41:E$55)/C7)</f>
        <v/>
      </c>
      <c r="D22" s="35">
        <f>IF(D7=0,"",SUMIF('Budget de fonctionnement'!$J$41:$J$55,"Dons, mécénat, legs (754)",'Budget de fonctionnement'!F$41:F$55)/D7)</f>
        <v/>
      </c>
    </row>
    <row r="23">
      <c r="B23" s="18" t="inlineStr">
        <is>
          <t>Lignes à commenter ou à corriger (colonne « Alerte »)</t>
        </is>
      </c>
      <c r="C23" s="36" t="n"/>
      <c r="D23" s="36">
        <f>COUNTIF('Budget de fonctionnement'!K8:K55,"?*")</f>
        <v/>
      </c>
    </row>
    <row r="25" ht="32" customHeight="1">
      <c r="B25" s="15" t="inlineStr">
        <is>
          <t>Verdict</t>
        </is>
      </c>
      <c r="C25" s="15">
        <f>IF(D23&gt;0,"À compléter : "&amp;D23&amp;" ligne(s) à commenter ou à corriger",IF(D19&lt;0,"Trésorerie insuffisante : revoir les investissements ou leur financement",IF(D13="Non","Attention : le fonctionnement ne couvre pas le capital de l’emprunt",IF(D9&lt;0,"Déficit à assumer explicitement et à expliquer aux membres","Budget cohérent, prêt à être présenté au conseil"))))</f>
        <v/>
      </c>
      <c r="D25" s="37" t="n"/>
    </row>
    <row r="27">
      <c r="B27" s="4" t="inlineStr">
        <is>
          <t>Aucun texte ne fixe un nombre de mois de trésorerie de réserve : la marge dépend de vos charges mensuelles, de la saisonnalité des dons (creux de l’été) et de vos risques.</t>
        </is>
      </c>
    </row>
    <row r="28">
      <c r="B28" s="4" t="inlineStr">
        <is>
          <t>Excédent, équilibre ou déficit assumé : c’est un choix du conseil. Un déficit se décide, se finance par la trésorerie disponible et s’explique aux membres.</t>
        </is>
      </c>
    </row>
    <row r="30">
      <c r="A30" s="7" t="inlineStr">
        <is>
          <t>Modèle fourni à titre indicatif, à adapter à votre situation. Ne constitue pas une consultation individualisée. Textes vérifiés le 9 octobre 2026 (loi du 9 décembre 1905, art. 19, 21 et 23 ; décret du 16 mars 1906, art. 32-1).</t>
        </is>
      </c>
    </row>
    <row r="31">
      <c r="A31" s="8" t="inlineStr">
        <is>
          <t>Samuel PETE — Mon Asso Cultuelle — N01 Budget prévisionnel annuel — version 2026-10 — monassocultuelle.com</t>
        </is>
      </c>
    </row>
  </sheetData>
  <mergeCells count="1">
    <mergeCell ref="C25:D25"/>
  </mergeCells>
  <conditionalFormatting sqref="C25">
    <cfRule type="expression" priority="1" dxfId="2">
      <formula>LEFT(C25,6)&lt;&gt;"Budget"</formula>
    </cfRule>
  </conditionalFormatting>
  <conditionalFormatting sqref="C13:D13">
    <cfRule type="expression" priority="2" dxfId="0">
      <formula>C13="Non"</formula>
    </cfRule>
  </conditionalFormatting>
  <conditionalFormatting sqref="D19">
    <cfRule type="expression" priority="3" dxfId="0">
      <formula>D19&lt;0</formula>
    </cfRule>
  </conditionalFormatting>
  <pageMargins left="0.75" right="0.75" top="1" bottom="1" header="0.5" footer="0.5"/>
  <pageSetup orientation="landscape" fitToHeight="0" fitToWidth="1"/>
  <headerFooter>
    <oddHeader/>
    <oddFooter>&amp;CSamuel PETE — Mon Asso Cultuelle — N01 — monassocultuelle.com</oddFooter>
    <evenHeader/>
    <evenFooter/>
    <firstHeader/>
    <firstFooter/>
  </headerFooter>
</worksheet>
</file>

<file path=xl/worksheets/sheet6.xml><?xml version="1.0" encoding="utf-8"?>
<worksheet xmlns="http://schemas.openxmlformats.org/spreadsheetml/2006/main">
  <sheetPr>
    <outlinePr summaryBelow="1" summaryRight="1"/>
    <pageSetUpPr fitToPage="1"/>
  </sheetPr>
  <dimension ref="A1:D49"/>
  <sheetViews>
    <sheetView showGridLines="0" workbookViewId="0">
      <selection activeCell="A1" sqref="A1"/>
    </sheetView>
  </sheetViews>
  <sheetFormatPr baseColWidth="8" defaultRowHeight="15"/>
  <cols>
    <col width="58" customWidth="1" min="1" max="1"/>
    <col width="20" customWidth="1" min="2" max="2"/>
    <col width="20" customWidth="1" min="3" max="3"/>
    <col width="14" customWidth="1" min="4" max="4"/>
  </cols>
  <sheetData>
    <row r="1">
      <c r="A1" s="1" t="inlineStr">
        <is>
          <t>OUTIL N01 · MON ASSO CULTUELLE</t>
        </is>
      </c>
    </row>
    <row r="2">
      <c r="A2" s="2" t="inlineStr">
        <is>
          <t>Budget prévisionnel — version à présenter</t>
        </is>
      </c>
    </row>
    <row r="3">
      <c r="A3" s="3" t="inlineStr">
        <is>
          <t>Au conseil, à l’assemblée, au préfet sur demande (loi de 1905, art. 21) ou avec la déclaration de qualité cultuelle (décret du 16 mars 1906, art. 32-1).</t>
        </is>
      </c>
    </row>
    <row r="4">
      <c r="A4" s="4" t="inlineStr">
        <is>
          <t>Légende : cellules jaunes = à remplir ; cellules blanches = calcul automatique ; ligne en gris italique = exemple à effacer.</t>
        </is>
      </c>
    </row>
    <row r="6">
      <c r="A6" s="38">
        <f>Paramètres!$B$6</f>
        <v/>
      </c>
    </row>
    <row r="7">
      <c r="A7" s="39">
        <f>"Budget prévisionnel de l’exercice "&amp;Paramètres!$B$7&amp;" (du 1er janvier au 31 décembre "&amp;Paramètres!$B$7&amp;")"</f>
        <v/>
      </c>
    </row>
    <row r="8">
      <c r="A8" s="3">
        <f>"Adopté par le "&amp;Paramètres!$B$10&amp;" le "&amp;Paramètres!$B$11</f>
        <v/>
      </c>
    </row>
    <row r="10" ht="30" customHeight="1">
      <c r="A10" s="16" t="inlineStr">
        <is>
          <t>Rubrique</t>
        </is>
      </c>
      <c r="B10" s="16">
        <f>"Réalisé "&amp;Paramètres!$B$8&amp;" estimé"</f>
        <v/>
      </c>
      <c r="C10" s="16">
        <f>"Budget "&amp;Paramètres!$B$7</f>
        <v/>
      </c>
      <c r="D10" s="16" t="inlineStr">
        <is>
          <t>Écart</t>
        </is>
      </c>
    </row>
    <row r="11">
      <c r="A11" s="19" t="inlineStr">
        <is>
          <t>Charges</t>
        </is>
      </c>
      <c r="B11" s="20" t="n"/>
      <c r="C11" s="20" t="n"/>
      <c r="D11" s="20" t="n"/>
    </row>
    <row r="12">
      <c r="A12" s="18" t="inlineStr">
        <is>
          <t>Achats (60)</t>
        </is>
      </c>
      <c r="B12" s="21">
        <f>SUMIF('Budget de fonctionnement'!$J$8:$J$37,A12,'Budget de fonctionnement'!E$8:E$37)</f>
        <v/>
      </c>
      <c r="C12" s="21">
        <f>SUMIF('Budget de fonctionnement'!$J$8:$J$37,A12,'Budget de fonctionnement'!F$8:F$37)</f>
        <v/>
      </c>
      <c r="D12" s="23">
        <f>IF(N(B12)=0,"",C12/B12-1)</f>
        <v/>
      </c>
    </row>
    <row r="13">
      <c r="A13" s="18" t="inlineStr">
        <is>
          <t>Services extérieurs (61-62)</t>
        </is>
      </c>
      <c r="B13" s="21">
        <f>SUMIF('Budget de fonctionnement'!$J$8:$J$37,A13,'Budget de fonctionnement'!E$8:E$37)</f>
        <v/>
      </c>
      <c r="C13" s="21">
        <f>SUMIF('Budget de fonctionnement'!$J$8:$J$37,A13,'Budget de fonctionnement'!F$8:F$37)</f>
        <v/>
      </c>
      <c r="D13" s="23">
        <f>IF(N(B13)=0,"",C13/B13-1)</f>
        <v/>
      </c>
    </row>
    <row r="14">
      <c r="A14" s="18" t="inlineStr">
        <is>
          <t>Impôts et taxes (63)</t>
        </is>
      </c>
      <c r="B14" s="21">
        <f>SUMIF('Budget de fonctionnement'!$J$8:$J$37,A14,'Budget de fonctionnement'!E$8:E$37)</f>
        <v/>
      </c>
      <c r="C14" s="21">
        <f>SUMIF('Budget de fonctionnement'!$J$8:$J$37,A14,'Budget de fonctionnement'!F$8:F$37)</f>
        <v/>
      </c>
      <c r="D14" s="23">
        <f>IF(N(B14)=0,"",C14/B14-1)</f>
        <v/>
      </c>
    </row>
    <row r="15">
      <c r="A15" s="18" t="inlineStr">
        <is>
          <t>Indemnités, salaires et charges sociales (64)</t>
        </is>
      </c>
      <c r="B15" s="21">
        <f>SUMIF('Budget de fonctionnement'!$J$8:$J$37,A15,'Budget de fonctionnement'!E$8:E$37)</f>
        <v/>
      </c>
      <c r="C15" s="21">
        <f>SUMIF('Budget de fonctionnement'!$J$8:$J$37,A15,'Budget de fonctionnement'!F$8:F$37)</f>
        <v/>
      </c>
      <c r="D15" s="23">
        <f>IF(N(B15)=0,"",C15/B15-1)</f>
        <v/>
      </c>
    </row>
    <row r="16">
      <c r="A16" s="18" t="inlineStr">
        <is>
          <t>Aides financières et autres charges de gestion (65)</t>
        </is>
      </c>
      <c r="B16" s="21">
        <f>SUMIF('Budget de fonctionnement'!$J$8:$J$37,A16,'Budget de fonctionnement'!E$8:E$37)</f>
        <v/>
      </c>
      <c r="C16" s="21">
        <f>SUMIF('Budget de fonctionnement'!$J$8:$J$37,A16,'Budget de fonctionnement'!F$8:F$37)</f>
        <v/>
      </c>
      <c r="D16" s="23">
        <f>IF(N(B16)=0,"",C16/B16-1)</f>
        <v/>
      </c>
    </row>
    <row r="17">
      <c r="A17" s="18" t="inlineStr">
        <is>
          <t>Charges financières (66)</t>
        </is>
      </c>
      <c r="B17" s="21">
        <f>SUMIF('Budget de fonctionnement'!$J$8:$J$37,A17,'Budget de fonctionnement'!E$8:E$37)</f>
        <v/>
      </c>
      <c r="C17" s="21">
        <f>SUMIF('Budget de fonctionnement'!$J$8:$J$37,A17,'Budget de fonctionnement'!F$8:F$37)</f>
        <v/>
      </c>
      <c r="D17" s="23">
        <f>IF(N(B17)=0,"",C17/B17-1)</f>
        <v/>
      </c>
    </row>
    <row r="18">
      <c r="A18" s="18" t="inlineStr">
        <is>
          <t>Charges exceptionnelles (67)</t>
        </is>
      </c>
      <c r="B18" s="21">
        <f>SUMIF('Budget de fonctionnement'!$J$8:$J$37,A18,'Budget de fonctionnement'!E$8:E$37)</f>
        <v/>
      </c>
      <c r="C18" s="21">
        <f>SUMIF('Budget de fonctionnement'!$J$8:$J$37,A18,'Budget de fonctionnement'!F$8:F$37)</f>
        <v/>
      </c>
      <c r="D18" s="23">
        <f>IF(N(B18)=0,"",C18/B18-1)</f>
        <v/>
      </c>
    </row>
    <row r="19">
      <c r="A19" s="18" t="inlineStr">
        <is>
          <t>Dotations aux amortissements, provisions et fonds dédiés (68)</t>
        </is>
      </c>
      <c r="B19" s="21">
        <f>SUMIF('Budget de fonctionnement'!$J$8:$J$37,A19,'Budget de fonctionnement'!E$8:E$37)</f>
        <v/>
      </c>
      <c r="C19" s="21">
        <f>SUMIF('Budget de fonctionnement'!$J$8:$J$37,A19,'Budget de fonctionnement'!F$8:F$37)</f>
        <v/>
      </c>
      <c r="D19" s="23">
        <f>IF(N(B19)=0,"",C19/B19-1)</f>
        <v/>
      </c>
    </row>
    <row r="20">
      <c r="A20" s="9" t="inlineStr">
        <is>
          <t>Total des charges</t>
        </is>
      </c>
      <c r="B20" s="40">
        <f>SUM(B12:B19)</f>
        <v/>
      </c>
      <c r="C20" s="40">
        <f>SUM(C12:C19)</f>
        <v/>
      </c>
      <c r="D20" s="41">
        <f>IF(B20=0,"",C20/B20-1)</f>
        <v/>
      </c>
    </row>
    <row r="22">
      <c r="A22" s="19" t="inlineStr">
        <is>
          <t>Produits</t>
        </is>
      </c>
      <c r="B22" s="20" t="n"/>
      <c r="C22" s="20" t="n"/>
      <c r="D22" s="20" t="n"/>
    </row>
    <row r="23">
      <c r="A23" s="18" t="inlineStr">
        <is>
          <t>Participations aux frais et activités annexes (70)</t>
        </is>
      </c>
      <c r="B23" s="21">
        <f>SUMIF('Budget de fonctionnement'!$J$41:$J$55,A23,'Budget de fonctionnement'!E$41:E$55)</f>
        <v/>
      </c>
      <c r="C23" s="21">
        <f>SUMIF('Budget de fonctionnement'!$J$41:$J$55,A23,'Budget de fonctionnement'!F$41:F$55)</f>
        <v/>
      </c>
      <c r="D23" s="23">
        <f>IF(N(B23)=0,"",C23/B23-1)</f>
        <v/>
      </c>
    </row>
    <row r="24">
      <c r="A24" s="18" t="inlineStr">
        <is>
          <t>Subventions (74), tout à fait marginales</t>
        </is>
      </c>
      <c r="B24" s="21">
        <f>SUMIF('Budget de fonctionnement'!$J$41:$J$55,A24,'Budget de fonctionnement'!E$41:E$55)</f>
        <v/>
      </c>
      <c r="C24" s="21">
        <f>SUMIF('Budget de fonctionnement'!$J$41:$J$55,A24,'Budget de fonctionnement'!F$41:F$55)</f>
        <v/>
      </c>
      <c r="D24" s="23">
        <f>IF(N(B24)=0,"",C24/B24-1)</f>
        <v/>
      </c>
    </row>
    <row r="25">
      <c r="A25" s="18" t="inlineStr">
        <is>
          <t>Dons, mécénat, legs (754)</t>
        </is>
      </c>
      <c r="B25" s="21">
        <f>SUMIF('Budget de fonctionnement'!$J$41:$J$55,A25,'Budget de fonctionnement'!E$41:E$55)</f>
        <v/>
      </c>
      <c r="C25" s="21">
        <f>SUMIF('Budget de fonctionnement'!$J$41:$J$55,A25,'Budget de fonctionnement'!F$41:F$55)</f>
        <v/>
      </c>
      <c r="D25" s="23">
        <f>IF(N(B25)=0,"",C25/B25-1)</f>
        <v/>
      </c>
    </row>
    <row r="26">
      <c r="A26" s="18" t="inlineStr">
        <is>
          <t>Cotisations (756)</t>
        </is>
      </c>
      <c r="B26" s="21">
        <f>SUMIF('Budget de fonctionnement'!$J$41:$J$55,A26,'Budget de fonctionnement'!E$41:E$55)</f>
        <v/>
      </c>
      <c r="C26" s="21">
        <f>SUMIF('Budget de fonctionnement'!$J$41:$J$55,A26,'Budget de fonctionnement'!F$41:F$55)</f>
        <v/>
      </c>
      <c r="D26" s="23">
        <f>IF(N(B26)=0,"",C26/B26-1)</f>
        <v/>
      </c>
    </row>
    <row r="27">
      <c r="A27" s="18" t="inlineStr">
        <is>
          <t>Casuels et autres produits de gestion (75)</t>
        </is>
      </c>
      <c r="B27" s="21">
        <f>SUMIF('Budget de fonctionnement'!$J$41:$J$55,A27,'Budget de fonctionnement'!E$41:E$55)</f>
        <v/>
      </c>
      <c r="C27" s="21">
        <f>SUMIF('Budget de fonctionnement'!$J$41:$J$55,A27,'Budget de fonctionnement'!F$41:F$55)</f>
        <v/>
      </c>
      <c r="D27" s="23">
        <f>IF(N(B27)=0,"",C27/B27-1)</f>
        <v/>
      </c>
    </row>
    <row r="28">
      <c r="A28" s="18" t="inlineStr">
        <is>
          <t>Produits financiers (76)</t>
        </is>
      </c>
      <c r="B28" s="21">
        <f>SUMIF('Budget de fonctionnement'!$J$41:$J$55,A28,'Budget de fonctionnement'!E$41:E$55)</f>
        <v/>
      </c>
      <c r="C28" s="21">
        <f>SUMIF('Budget de fonctionnement'!$J$41:$J$55,A28,'Budget de fonctionnement'!F$41:F$55)</f>
        <v/>
      </c>
      <c r="D28" s="23">
        <f>IF(N(B28)=0,"",C28/B28-1)</f>
        <v/>
      </c>
    </row>
    <row r="29">
      <c r="A29" s="18" t="inlineStr">
        <is>
          <t>Produits exceptionnels (77)</t>
        </is>
      </c>
      <c r="B29" s="21">
        <f>SUMIF('Budget de fonctionnement'!$J$41:$J$55,A29,'Budget de fonctionnement'!E$41:E$55)</f>
        <v/>
      </c>
      <c r="C29" s="21">
        <f>SUMIF('Budget de fonctionnement'!$J$41:$J$55,A29,'Budget de fonctionnement'!F$41:F$55)</f>
        <v/>
      </c>
      <c r="D29" s="23">
        <f>IF(N(B29)=0,"",C29/B29-1)</f>
        <v/>
      </c>
    </row>
    <row r="30">
      <c r="A30" s="18" t="inlineStr">
        <is>
          <t>Reprises et utilisations de fonds dédiés (78)</t>
        </is>
      </c>
      <c r="B30" s="21">
        <f>SUMIF('Budget de fonctionnement'!$J$41:$J$55,A30,'Budget de fonctionnement'!E$41:E$55)</f>
        <v/>
      </c>
      <c r="C30" s="21">
        <f>SUMIF('Budget de fonctionnement'!$J$41:$J$55,A30,'Budget de fonctionnement'!F$41:F$55)</f>
        <v/>
      </c>
      <c r="D30" s="23">
        <f>IF(N(B30)=0,"",C30/B30-1)</f>
        <v/>
      </c>
    </row>
    <row r="31">
      <c r="A31" s="9" t="inlineStr">
        <is>
          <t>Total des produits</t>
        </is>
      </c>
      <c r="B31" s="40">
        <f>SUM(B23:B30)</f>
        <v/>
      </c>
      <c r="C31" s="40">
        <f>SUM(C23:C30)</f>
        <v/>
      </c>
      <c r="D31" s="41">
        <f>IF(B31=0,"",C31/B31-1)</f>
        <v/>
      </c>
    </row>
    <row r="33">
      <c r="A33" s="42" t="inlineStr">
        <is>
          <t>Résultat prévisionnel</t>
        </is>
      </c>
      <c r="B33" s="43">
        <f>B31-B20</f>
        <v/>
      </c>
      <c r="C33" s="43">
        <f>C31-C20</f>
        <v/>
      </c>
      <c r="D33" s="44" t="n"/>
    </row>
    <row r="35">
      <c r="A35" s="19" t="inlineStr">
        <is>
          <t>Investissements et financement</t>
        </is>
      </c>
      <c r="B35" s="20" t="n"/>
      <c r="C35" s="20" t="n"/>
      <c r="D35" s="20" t="n"/>
    </row>
    <row r="36">
      <c r="A36" s="18" t="inlineStr">
        <is>
          <t>Investissements</t>
        </is>
      </c>
      <c r="B36" s="21">
        <f>'Investissements et financement'!C16</f>
        <v/>
      </c>
      <c r="C36" s="21">
        <f>'Investissements et financement'!D16</f>
        <v/>
      </c>
    </row>
    <row r="37">
      <c r="A37" s="18" t="inlineStr">
        <is>
          <t>Remboursement du capital des emprunts</t>
        </is>
      </c>
      <c r="B37" s="21">
        <f>'Investissements et financement'!C23</f>
        <v/>
      </c>
      <c r="C37" s="21">
        <f>'Investissements et financement'!D23</f>
        <v/>
      </c>
    </row>
    <row r="38">
      <c r="A38" s="18" t="inlineStr">
        <is>
          <t>Capacité d’autofinancement</t>
        </is>
      </c>
      <c r="B38" s="31">
        <f>'Investissements et financement'!C29</f>
        <v/>
      </c>
      <c r="C38" s="31">
        <f>'Investissements et financement'!D29</f>
        <v/>
      </c>
    </row>
    <row r="39">
      <c r="A39" s="18" t="inlineStr">
        <is>
          <t>Nouveaux emprunts et autres ressources</t>
        </is>
      </c>
      <c r="B39" s="21">
        <f>'Investissements et financement'!C30+'Investissements et financement'!C31</f>
        <v/>
      </c>
      <c r="C39" s="21">
        <f>'Investissements et financement'!D30+'Investissements et financement'!D31</f>
        <v/>
      </c>
    </row>
    <row r="40">
      <c r="A40" s="9" t="inlineStr">
        <is>
          <t>Variation de trésorerie prévisionnelle</t>
        </is>
      </c>
      <c r="B40" s="30">
        <f>'Investissements et financement'!C34</f>
        <v/>
      </c>
      <c r="C40" s="30">
        <f>'Investissements et financement'!D34</f>
        <v/>
      </c>
    </row>
    <row r="42">
      <c r="A42" s="9" t="inlineStr">
        <is>
          <t>Le président</t>
        </is>
      </c>
      <c r="C42" s="9" t="inlineStr">
        <is>
          <t>Le trésorier</t>
        </is>
      </c>
    </row>
    <row r="43">
      <c r="A43" s="4" t="inlineStr">
        <is>
          <t>Nom, date et signature</t>
        </is>
      </c>
      <c r="C43" s="4" t="inlineStr">
        <is>
          <t>Nom, date et signature</t>
        </is>
      </c>
    </row>
    <row r="44" ht="40" customHeight="1"/>
    <row r="46">
      <c r="A46" s="4" t="inlineStr">
        <is>
          <t>Le capital remboursé des emprunts et les investissements ne sont pas des charges : ils figurent dans la partie « Investissements et financement ».</t>
        </is>
      </c>
    </row>
    <row r="48">
      <c r="A48" s="7" t="inlineStr">
        <is>
          <t>Modèle fourni à titre indicatif, à adapter à votre situation. Ne constitue pas une consultation individualisée. Textes vérifiés le 9 octobre 2026 (loi du 9 décembre 1905, art. 19, 21 et 23 ; décret du 16 mars 1906, art. 32-1).</t>
        </is>
      </c>
    </row>
    <row r="49">
      <c r="A49" s="8" t="inlineStr">
        <is>
          <t>Samuel PETE — Mon Asso Cultuelle — N01 Budget prévisionnel annuel — version 2026-10 — monassocultuelle.com</t>
        </is>
      </c>
    </row>
  </sheetData>
  <pageMargins left="0.75" right="0.75" top="1" bottom="1" header="0.5" footer="0.5"/>
  <pageSetup orientation="portrait" fitToHeight="0" fitToWidth="1"/>
  <headerFooter>
    <oddHeader/>
    <oddFooter>&amp;CSamuel PETE — Mon Asso Cultuelle — N01 — monassocultuelle.com</oddFooter>
    <evenHeader/>
    <evenFooter/>
    <firstHeader/>
    <firstFooter/>
  </headerFooter>
</worksheet>
</file>

<file path=xl/worksheets/sheet7.xml><?xml version="1.0" encoding="utf-8"?>
<worksheet xmlns="http://schemas.openxmlformats.org/spreadsheetml/2006/main">
  <sheetPr>
    <outlinePr summaryBelow="1" summaryRight="1"/>
    <pageSetUpPr fitToPage="1"/>
  </sheetPr>
  <dimension ref="A1:B16"/>
  <sheetViews>
    <sheetView showGridLines="0" workbookViewId="0">
      <selection activeCell="A1" sqref="A1"/>
    </sheetView>
  </sheetViews>
  <sheetFormatPr baseColWidth="8" defaultRowHeight="15"/>
  <cols>
    <col width="34" customWidth="1" min="1" max="1"/>
    <col width="112" customWidth="1" min="2" max="2"/>
  </cols>
  <sheetData>
    <row r="1">
      <c r="A1" s="1" t="inlineStr">
        <is>
          <t>OUTIL N01 · MON ASSO CULTUELLE</t>
        </is>
      </c>
    </row>
    <row r="2">
      <c r="A2" s="2" t="inlineStr">
        <is>
          <t>Résolutions types d’adoption du budget</t>
        </is>
      </c>
    </row>
    <row r="3">
      <c r="A3" s="3" t="inlineStr">
        <is>
          <t>À adapter à vos statuts (organe compétent, majorité). La première se remplit avec les chiffres du budget ; les passages entre crochets sont à compléter.</t>
        </is>
      </c>
    </row>
    <row r="4">
      <c r="A4" s="4" t="inlineStr">
        <is>
          <t>Légende : cellules jaunes = à remplir ; cellules blanches = calcul automatique ; ligne en gris italique = exemple à effacer.</t>
        </is>
      </c>
    </row>
    <row r="6" ht="30" customHeight="1">
      <c r="A6" s="16" t="inlineStr">
        <is>
          <t>Situation</t>
        </is>
      </c>
      <c r="B6" s="16" t="inlineStr">
        <is>
          <t>Texte type</t>
        </is>
      </c>
    </row>
    <row r="7" ht="90" customHeight="1">
      <c r="A7" s="9" t="inlineStr">
        <is>
          <t>Arrêté du budget par le conseil (texte prérempli)</t>
        </is>
      </c>
      <c r="B7" s="18">
        <f>"Le "&amp;Paramètres!$B$10&amp;", réuni le "&amp;Paramètres!$B$11&amp;", après avoir pris connaissance du projet présenté par le trésorier, arrête le budget prévisionnel de l’exercice "&amp;Paramètres!$B$7&amp;". "&amp;"Ce budget prévoit "&amp;TEXT(Synthèse!D7,"# ##0")&amp;" € de produits et "&amp;TEXT(Synthèse!D8,"# ##0")&amp;" € de charges, soit un résultat prévisionnel de "&amp;TEXT(Synthèse!D9,"+# ##0;-# ##0;0")&amp;" €. "&amp;"Il autorise des investissements pour "&amp;TEXT(Synthèse!D14,"# ##0")&amp;" € et le remboursement de "&amp;TEXT(Synthèse!D12,"# ##0")&amp;" € de capital d’emprunt. "&amp;"Il soumet ce budget à l’approbation de l’assemblée générale. "&amp;"Cette résolution est adoptée à [l’unanimité / la majorité de … voix pour, … contre, … abstentions]."</f>
        <v/>
      </c>
    </row>
    <row r="8" ht="90" customHeight="1">
      <c r="A8" s="9" t="inlineStr">
        <is>
          <t>Approbation par l’assemblée générale du budget arrêté par le conseil</t>
        </is>
      </c>
      <c r="B8" s="18" t="inlineStr">
        <is>
          <t>Résolution n° [ ] — Budget prévisionnel de l’exercice [2027]. L’assemblée générale, après avoir entendu la présentation du trésorier, approuve le budget prévisionnel de l’exercice [2027] arrêté par le conseil d’administration le [date], qui prévoit [ ] € de produits, [ ] € de charges, soit un résultat prévisionnel de [ ] €, ainsi que [ ] € d’investissements et [ ] € de remboursement du capital des emprunts. Cette résolution est adoptée à [l’unanimité / la majorité de … voix pour, … contre, … abstentions].</t>
        </is>
      </c>
    </row>
    <row r="9" ht="105" customHeight="1">
      <c r="A9" s="9" t="inlineStr">
        <is>
          <t>Déficit assumé</t>
        </is>
      </c>
      <c r="B9" s="18" t="inlineStr">
        <is>
          <t>Résolution n° [ ] — Budget prévisionnel de l’exercice [2027]. Le [conseil d’administration] arrête le budget prévisionnel de l’exercice [2027], qui fait apparaître un déficit prévisionnel de [ ] €, lié à [motif : lancement de l’implantation d’un nouveau lieu de culte, travaux d’entretien exceptionnels…]. Il constate que ce déficit est couvert par la trésorerie disponible, après prise en compte des fonds dédiés non encore employés, et soumet ce budget à l’approbation de l’assemblée générale. Cette résolution est adoptée à [l’unanimité / la majorité de …].</t>
        </is>
      </c>
    </row>
    <row r="10" ht="105" customHeight="1">
      <c r="A10" s="9" t="inlineStr">
        <is>
          <t>Budget rectificatif en cours d’année</t>
        </is>
      </c>
      <c r="B10" s="18" t="inlineStr">
        <is>
          <t>Résolution n° [ ] — Budget rectificatif de l’exercice [2027]. Le [conseil d’administration], constatant [motif : sinistre, baisse durable des dons, nouvelle dépense imprévue], modifie le budget prévisionnel adopté le [date] : les charges sont portées de [ ] € à [ ] €, les produits de [ ] € à [ ] €, et le résultat prévisionnel s’établit à [ ] €. Le tableau du budget rectificatif est annexé au présent procès-verbal. Le conseil en rend compte à la prochaine assemblée générale. Cette résolution est adoptée à [l’unanimité / la majorité de …].</t>
        </is>
      </c>
    </row>
    <row r="12">
      <c r="A12" s="4" t="inlineStr">
        <is>
          <t>La loi de 1905 impose seulement à l’assemblée générale d’approuver chaque année la gestion financière (art. 19). L’organe qui adopte le budget est celui que désignent les statuts. S’ils sont muets, le conseil arrête le budget et le soumet à l’approbation de l’assemblée générale : celle-ci approuve ensuite les comptes et se prononce sur le quitus des dirigeants ; le budget qu’elle a approuvé lui sert de critère objectif.</t>
        </is>
      </c>
    </row>
    <row r="13">
      <c r="A13" s="4" t="inlineStr">
        <is>
          <t>Conservez le budget adopté et le procès-verbal avec les comptes annuels : le préfet peut demander le budget de l’exercice en cours.</t>
        </is>
      </c>
    </row>
    <row r="15">
      <c r="A15" s="7" t="inlineStr">
        <is>
          <t>Modèle fourni à titre indicatif, à adapter à votre situation. Ne constitue pas une consultation individualisée. Textes vérifiés le 9 octobre 2026 (loi du 9 décembre 1905, art. 19, 21 et 23 ; décret du 16 mars 1906, art. 32-1).</t>
        </is>
      </c>
    </row>
    <row r="16">
      <c r="A16" s="8" t="inlineStr">
        <is>
          <t>Samuel PETE — Mon Asso Cultuelle — N01 Budget prévisionnel annuel — version 2026-10 — monassocultuelle.com</t>
        </is>
      </c>
    </row>
  </sheetData>
  <pageMargins left="0.75" right="0.75" top="1" bottom="1" header="0.5" footer="0.5"/>
  <pageSetup orientation="landscape" fitToHeight="0" fitToWidth="1"/>
  <headerFooter>
    <oddHeader/>
    <oddFooter>&amp;CSamuel PETE — Mon Asso Cultuelle — N01 — monassocultuelle.com</oddFooter>
    <evenHeader/>
    <evenFooter/>
    <firstHeader/>
    <firstFooter/>
  </headerFooter>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2026-10-09T16:24:17Z</dcterms:created>
  <dcterms:modified xmlns:dcterms="http://purl.org/dc/terms/" xmlns:xsi="http://www.w3.org/2001/XMLSchema-instance" xsi:type="dcterms:W3CDTF">2026-10-09T16:24:17Z</dcterms:modified>
</cp:coreProperties>
</file>