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ode d’emploi" sheetId="1" state="visible" r:id="rId3"/>
    <sheet name="Paramètres" sheetId="2" state="visible" r:id="rId4"/>
    <sheet name="Registre" sheetId="3" state="visible" r:id="rId5"/>
    <sheet name="Synthès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<sst xmlns="http://schemas.openxmlformats.org/spreadsheetml/2006/main" count="184" uniqueCount="137">
  <si>
    <t xml:space="preserve">OUTIL E06 · MON ASSO CULTUELLE</t>
  </si>
  <si>
    <t xml:space="preserve">Tableau des immobilisations et plan d’amortissement</t>
  </si>
  <si>
    <t xml:space="preserve">Registre des immobilisations par composant et plan d’amortissement de l’exercice.</t>
  </si>
  <si>
    <t xml:space="preserve">Légende : cellules jaunes = à remplir ; cellules blanches = calcul automatique ; ligne en gris italique = exemple à effacer.</t>
  </si>
  <si>
    <t xml:space="preserve">1. Paramètres</t>
  </si>
  <si>
    <t xml:space="preserve">Saisissez le nom de l’association et les dates d’ouverture et de clôture de l’exercice. Ajustez si besoin les durées d’amortissement par catégorie : ce sont des repères, à adapter au bâtiment réel et à justifier.</t>
  </si>
  <si>
    <t xml:space="preserve">2. Registre</t>
  </si>
  <si>
    <t xml:space="preserve">Une ligne par composant : le lieu de culte se décompose en terrain, gros œuvre, toiture, installations techniques et agencements. Indiquez la date de mise en service et la valeur d’entrée (coût d’acquisition ou de construction, valeur vénale pour un bien reçu par legs ou donation, valeur d’apport).</t>
  </si>
  <si>
    <t xml:space="preserve">3. Durée</t>
  </si>
  <si>
    <t xml:space="preserve">La durée retenue vient de la catégorie. Pour un composant particulier, saisissez une « durée imposée » : elle remplace la durée de la catégorie. Le terrain et les biens reçus par legs ou donation destinés à être cédés ont une durée de 0 : ils ne sont pas amortis.</t>
  </si>
  <si>
    <t xml:space="preserve">4. Calculs</t>
  </si>
  <si>
    <t xml:space="preserve">L’outil calcule les amortissements cumulés à l’ouverture, la dotation de l’exercice (prorata temporis, année de 360 jours) et la valeur nette à la clôture. Une dépréciation éventuelle (sinistre, bâtiment inutilisable, projet de vente sous la valeur nette) se saisit à part.</t>
  </si>
  <si>
    <t xml:space="preserve">5. Sortie</t>
  </si>
  <si>
    <t xml:space="preserve">Lorsqu’un composant est remplacé (nouvelle toiture) ou le bien vendu, indiquez la date de sortie : l’amortissement s’arrête à cette date et la valeur nette restante est une charge de l’exercice. Ajoutez le nouveau composant sur une nouvelle ligne. En cas de vente (exercices ouverts depuis le 1er janvier 2025) : prix de cession au compte 757, valeur nette au compte 652, en résultat d’exploitation ; le résultat exceptionnel est réservé aux événements majeurs et inhabituels.</t>
  </si>
  <si>
    <t xml:space="preserve">6. Fonds dédiés</t>
  </si>
  <si>
    <t xml:space="preserve">Si l’achat ou les travaux d’un composant ont été financés par des dons affectés inscrits en fonds dédiés, ces fonds peuvent être repris au rythme de l’amortissement de ce composant : voir l’article sur les fonds dédiés et les dons affectés sur monassocultuelle.com, et votre expert-comptable.</t>
  </si>
  <si>
    <t xml:space="preserve">7. Synthèse</t>
  </si>
  <si>
    <t xml:space="preserve">Onglet « Synthèse » : totaux par catégorie, écriture de dotation aux amortissements et capacité d’autofinancement dégagée par un résultat à l’équilibre.</t>
  </si>
  <si>
    <t xml:space="preserve">8. Chaque année</t>
  </si>
  <si>
    <t xml:space="preserve">Changez les dates de l’exercice dans « Paramètres » : tous les calculs se mettent à jour. Conservez une copie du fichier par exercice, avec les actes et factures.</t>
  </si>
  <si>
    <t xml:space="preserve">Écritures types</t>
  </si>
  <si>
    <t xml:space="preserve">Dotation : débit 6811 « Dotations aux amortissements sur immobilisations incorporelles et corporelles » / crédit 281x. Le compte 757 est réservé aux produits de cession d’immobilisations (exercices ouverts depuis le 1er janvier 2025, règlements ANC n° 2022-06 et 2023-03).</t>
  </si>
  <si>
    <t xml:space="preserve">Legs et donations</t>
  </si>
  <si>
    <t xml:space="preserve">Date d’entrée : acceptation du legs par l’organe habilité (ou entrée en jouissance, ou délivrance pour un legs particulier, si elle est postérieure) ; acte authentique pour une donation. Bien conservé (lieu de culte, immeuble de rapport) : débit 211 / 213 à sa valeur vénale, crédit 75432 « Legs ou donations » pour l’actif net, dettes du legs en 466, charges stipulées en 152, legs particuliers à délivrer en autres dettes (CNCC, EC 2022-07) ; en fonds propres (1024, ou 1034 avec droit de reprise) si le testateur l’a stipulé ; en fonds dédiés s’il est affecté à un projet défini. Bien destiné à être cédé : débit 24 / crédit 75432, non amorti ; s’il n’est pas vendu à la clôture, débit 6891 / crédit 1911 « Fonds reportés », repris en 7891 lors de la vente (prix en 7571, valeur en 6521) ; dépréciation éventuelle en 68164 / 294 (règlement ANC n° 2018-06, art. 213-5 à 213-15). Tous ces comptes forment la rubrique « Legs, donations et assurances-vie », présentée nette en exploitation (art. 431-8). Numéros de comptes indicatifs, à rapprocher de votre plan comptable.</t>
  </si>
  <si>
    <t xml:space="preserve">Limites</t>
  </si>
  <si>
    <t xml:space="preserve">Outil de suivi, qui ne remplace pas la comptabilité. Les durées proposées sont des repères professionnels, non des durées légales. Pour une décomposition délicate, un legs, un apport ou la régularisation d’amortissements jamais pratiqués : monassocultuelle.com/besoin-professionnel</t>
  </si>
  <si>
    <t xml:space="preserve">Modèle fourni à titre indicatif, à adapter à votre situation. Ne constitue pas une consultation individualisée. Textes vérifiés le 28 septembre 2026.</t>
  </si>
  <si>
    <t xml:space="preserve">Samuel PETE — Mon Asso Cultuelle — E06 Tableau des immobilisations et plan d’amortissement — version 2026-09 — monassocultuelle.com</t>
  </si>
  <si>
    <t xml:space="preserve">Paramètres de l’exercice et durées par catégorie</t>
  </si>
  <si>
    <t xml:space="preserve">Les cellules jaunes sont modifiables. Les durées sont des repères usuels, à adapter et à justifier.</t>
  </si>
  <si>
    <t xml:space="preserve">Association</t>
  </si>
  <si>
    <t xml:space="preserve">[Nom de l’association cultuelle]</t>
  </si>
  <si>
    <t xml:space="preserve">Ouverture de l’exercice</t>
  </si>
  <si>
    <t xml:space="preserve">Clôture de l’exercice</t>
  </si>
  <si>
    <t xml:space="preserve">Catégorie</t>
  </si>
  <si>
    <t xml:space="preserve">Durée (ans)</t>
  </si>
  <si>
    <t xml:space="preserve">Fourchette usuelle</t>
  </si>
  <si>
    <t xml:space="preserve">Compte indicatif</t>
  </si>
  <si>
    <t xml:space="preserve">Commentaire</t>
  </si>
  <si>
    <t xml:space="preserve">Terrain</t>
  </si>
  <si>
    <t xml:space="preserve">non amortissable</t>
  </si>
  <si>
    <t xml:space="preserve">211</t>
  </si>
  <si>
    <t xml:space="preserve">Le terrain ne s’use pas : jamais amorti.</t>
  </si>
  <si>
    <t xml:space="preserve">Gros œuvre / structure</t>
  </si>
  <si>
    <t xml:space="preserve">40 à 80 ans</t>
  </si>
  <si>
    <t xml:space="preserve">2131</t>
  </si>
  <si>
    <t xml:space="preserve">Fondations, murs porteurs, charpente, planchers.</t>
  </si>
  <si>
    <t xml:space="preserve">Toiture / couverture</t>
  </si>
  <si>
    <t xml:space="preserve">20 à 30 ans</t>
  </si>
  <si>
    <t xml:space="preserve">Couverture, zinguerie, isolation de toiture.</t>
  </si>
  <si>
    <t xml:space="preserve">Façades, menuiseries extérieures, étanchéité</t>
  </si>
  <si>
    <t xml:space="preserve">Ravalement lourd, fenêtres, portes extérieures.</t>
  </si>
  <si>
    <t xml:space="preserve">Installations techniques</t>
  </si>
  <si>
    <t xml:space="preserve">15 à 25 ans</t>
  </si>
  <si>
    <t xml:space="preserve">2135</t>
  </si>
  <si>
    <t xml:space="preserve">Électricité, chauffage, ventilation, plomberie.</t>
  </si>
  <si>
    <t xml:space="preserve">Agencements intérieurs</t>
  </si>
  <si>
    <t xml:space="preserve">10 à 15 ans</t>
  </si>
  <si>
    <t xml:space="preserve">Cloisons, sols, faux plafonds, aménagement de la salle.</t>
  </si>
  <si>
    <t xml:space="preserve">Travaux d’accessibilité</t>
  </si>
  <si>
    <t xml:space="preserve">Rampe, élévateur, sanitaires adaptés.</t>
  </si>
  <si>
    <t xml:space="preserve">Sécurité, sûreté</t>
  </si>
  <si>
    <t xml:space="preserve">8 à 15 ans</t>
  </si>
  <si>
    <t xml:space="preserve">Alarme, vidéoprotection, contrôle d’accès.</t>
  </si>
  <si>
    <t xml:space="preserve">Sonorisation, vidéo, informatique</t>
  </si>
  <si>
    <t xml:space="preserve">3 à 7 ans</t>
  </si>
  <si>
    <t xml:space="preserve">2183</t>
  </si>
  <si>
    <t xml:space="preserve">Matériel audio, projection, ordinateurs.</t>
  </si>
  <si>
    <t xml:space="preserve">Mobilier</t>
  </si>
  <si>
    <t xml:space="preserve">2184</t>
  </si>
  <si>
    <t xml:space="preserve">Chaises, bancs, estrade mobile.</t>
  </si>
  <si>
    <t xml:space="preserve">Véhicule</t>
  </si>
  <si>
    <t xml:space="preserve">4 à 7 ans</t>
  </si>
  <si>
    <t xml:space="preserve">2182</t>
  </si>
  <si>
    <t xml:space="preserve">Bien reçu par legs ou donation destiné à être cédé</t>
  </si>
  <si>
    <t xml:space="preserve">non amorti</t>
  </si>
  <si>
    <t xml:space="preserve">24</t>
  </si>
  <si>
    <t xml:space="preserve">Règlement ANC n° 2018-06, art. 213-11 : non amorti ; dépréciation (68164 / 294) si la valeur baisse.</t>
  </si>
  <si>
    <t xml:space="preserve">Autre (à préciser)</t>
  </si>
  <si>
    <t xml:space="preserve">—</t>
  </si>
  <si>
    <t xml:space="preserve">Saisir une durée imposée dans le registre.</t>
  </si>
  <si>
    <t xml:space="preserve">Registre des immobilisations et plan d’amortissement</t>
  </si>
  <si>
    <t xml:space="preserve">Une ligne par composant. Montants en euros. Prorata temporis sur une année de 360 jours.</t>
  </si>
  <si>
    <t xml:space="preserve">N°</t>
  </si>
  <si>
    <t xml:space="preserve">Bien / site</t>
  </si>
  <si>
    <t xml:space="preserve">Composant</t>
  </si>
  <si>
    <t xml:space="preserve">Mode d’entrée</t>
  </si>
  <si>
    <t xml:space="preserve">Mise en service</t>
  </si>
  <si>
    <t xml:space="preserve">Valeur d’entrée</t>
  </si>
  <si>
    <t xml:space="preserve">Durée imposée (facultatif)</t>
  </si>
  <si>
    <t xml:space="preserve">Durée retenue (ans)</t>
  </si>
  <si>
    <t xml:space="preserve">Amort. cumulés à l’ouverture</t>
  </si>
  <si>
    <t xml:space="preserve">Dotation de l’exercice</t>
  </si>
  <si>
    <t xml:space="preserve">Amort. cumulés à la clôture</t>
  </si>
  <si>
    <t xml:space="preserve">Dépréciation cumulée (saisie)</t>
  </si>
  <si>
    <t xml:space="preserve">Date de sortie (facultatif)</t>
  </si>
  <si>
    <t xml:space="preserve">Valeur nette à la clôture</t>
  </si>
  <si>
    <t xml:space="preserve">Observations</t>
  </si>
  <si>
    <t xml:space="preserve">Lieu de culte, 12 rue de l’Exemple</t>
  </si>
  <si>
    <t xml:space="preserve">Achat</t>
  </si>
  <si>
    <t xml:space="preserve">Quote-part du terrain, frais d’acte compris</t>
  </si>
  <si>
    <t xml:space="preserve">Gros œuvre</t>
  </si>
  <si>
    <t xml:space="preserve">Toiture</t>
  </si>
  <si>
    <t xml:space="preserve">Électricité, chauffage, plomberie</t>
  </si>
  <si>
    <t xml:space="preserve">Agencements de la salle</t>
  </si>
  <si>
    <t xml:space="preserve">Rampe et sanitaires adaptés</t>
  </si>
  <si>
    <t xml:space="preserve">Travaux</t>
  </si>
  <si>
    <t xml:space="preserve">Salle de culte</t>
  </si>
  <si>
    <t xml:space="preserve">Sonorisation et vidéoprojection</t>
  </si>
  <si>
    <t xml:space="preserve">Appartement, 3 place du Marché</t>
  </si>
  <si>
    <t xml:space="preserve">Appartement reçu par legs</t>
  </si>
  <si>
    <t xml:space="preserve">Legs ou donation</t>
  </si>
  <si>
    <t xml:space="preserve">Mis en vente : non amorti</t>
  </si>
  <si>
    <t xml:space="preserve">Totaux</t>
  </si>
  <si>
    <t xml:space="preserve">Durée retenue 0 (fond crème) = bien non amorti : terrain, bien reçu par legs ou donation destiné à être cédé. Ligne grisée = composant sorti.</t>
  </si>
  <si>
    <t xml:space="preserve">Synthèse de l’exercice</t>
  </si>
  <si>
    <t xml:space="preserve">Calculée automatiquement à partir de l’onglet « Registre ».</t>
  </si>
  <si>
    <t xml:space="preserve">Exercice (ouverture / clôture)</t>
  </si>
  <si>
    <t xml:space="preserve">Total</t>
  </si>
  <si>
    <t xml:space="preserve">Écritures de fin d’exercice</t>
  </si>
  <si>
    <t xml:space="preserve">Montant</t>
  </si>
  <si>
    <t xml:space="preserve">Débit</t>
  </si>
  <si>
    <t xml:space="preserve">Crédit</t>
  </si>
  <si>
    <t xml:space="preserve">Dotation aux amortissements de l’exercice</t>
  </si>
  <si>
    <t xml:space="preserve">6811</t>
  </si>
  <si>
    <t xml:space="preserve">281x</t>
  </si>
  <si>
    <t xml:space="preserve">Dépréciations cumulées saisies (6816 / 291x ; 68164 / 294 pour un bien légué destiné à être cédé)</t>
  </si>
  <si>
    <t xml:space="preserve">6816</t>
  </si>
  <si>
    <t xml:space="preserve">291x</t>
  </si>
  <si>
    <t xml:space="preserve">Amortir pour mieux gérer</t>
  </si>
  <si>
    <t xml:space="preserve">Résultat comptable de l’exercice (à saisir)</t>
  </si>
  <si>
    <t xml:space="preserve">Dotations aux amortissements de l’exercice (charge non décaissée)</t>
  </si>
  <si>
    <t xml:space="preserve">Capacité d’autofinancement simplifiée (résultat + dotations)</t>
  </si>
  <si>
    <t xml:space="preserve">Un résultat à l’équilibre, dotations comprises, dégage une trésorerie égale aux dotations, à mettre de côté pour renouveler les biens (fonds de réserve, loi de 1905, art. 22).</t>
  </si>
  <si>
    <t xml:space="preserve">Contrôles</t>
  </si>
  <si>
    <t xml:space="preserve">Dotation calculée sur un terrain</t>
  </si>
  <si>
    <t xml:space="preserve">Lignes sans date de mise en service</t>
  </si>
</sst>
</file>

<file path=xl/styles.xml><?xml version="1.0" encoding="utf-8"?>
<styleSheet xmlns="http://schemas.openxmlformats.org/spreadsheetml/2006/main">
  <numFmts count="5">
    <numFmt numFmtId="164" formatCode="General"/>
    <numFmt numFmtId="165" formatCode="dd/mm/yyyy"/>
    <numFmt numFmtId="166" formatCode="#,##0.00&quot; €&quot;;\-#,##0.00&quot; €&quot;;\-"/>
    <numFmt numFmtId="167" formatCode="0"/>
    <numFmt numFmtId="168" formatCode="#,##0&quot; €&quot;;\-#,##0&quot; €&quot;;\-"/>
  </numFmts>
  <fonts count="15">
    <font>
      <sz val="11"/>
      <color theme="1"/>
      <name val="Calibri"/>
      <family val="2"/>
      <charset val="1"/>
    </font>
    <font>
      <sz val="10"/>
      <name val="Arial"/>
      <family val="0"/>
    </font>
    <font>
      <sz val="10"/>
      <name val="Arial"/>
      <family val="0"/>
    </font>
    <font>
      <sz val="10"/>
      <name val="Arial"/>
      <family val="0"/>
    </font>
    <font>
      <b val="true"/>
      <sz val="9"/>
      <color rgb="FFB37F12"/>
      <name val="Arial"/>
      <family val="0"/>
      <charset val="1"/>
    </font>
    <font>
      <b val="true"/>
      <sz val="16"/>
      <color rgb="FF082B50"/>
      <name val="Arial"/>
      <family val="0"/>
      <charset val="1"/>
    </font>
    <font>
      <sz val="10"/>
      <color rgb="FF6B7280"/>
      <name val="Arial"/>
      <family val="0"/>
      <charset val="1"/>
    </font>
    <font>
      <i val="true"/>
      <sz val="9"/>
      <color rgb="FF6B7280"/>
      <name val="Arial"/>
      <family val="0"/>
      <charset val="1"/>
    </font>
    <font>
      <b val="true"/>
      <sz val="11"/>
      <color rgb="FF082B50"/>
      <name val="Arial"/>
      <family val="0"/>
      <charset val="1"/>
    </font>
    <font>
      <sz val="10"/>
      <name val="Arial"/>
      <family val="0"/>
      <charset val="1"/>
    </font>
    <font>
      <i val="true"/>
      <sz val="8"/>
      <color rgb="FF6B7280"/>
      <name val="Arial"/>
      <family val="0"/>
      <charset val="1"/>
    </font>
    <font>
      <sz val="8"/>
      <color rgb="FF6B7280"/>
      <name val="Arial"/>
      <family val="0"/>
      <charset val="1"/>
    </font>
    <font>
      <b val="true"/>
      <sz val="11"/>
      <name val="Arial"/>
      <family val="0"/>
      <charset val="1"/>
    </font>
    <font>
      <i val="true"/>
      <sz val="10"/>
      <color rgb="FF6B7280"/>
      <name val="Arial"/>
      <family val="0"/>
      <charset val="1"/>
    </font>
    <font>
      <b val="true"/>
      <sz val="10"/>
      <color rgb="FFFFFFFF"/>
      <name val="Arial"/>
      <family val="0"/>
      <charset val="1"/>
    </font>
  </fonts>
  <fills count="4">
    <fill>
      <patternFill patternType="none"/>
    </fill>
    <fill>
      <patternFill patternType="gray125"/>
    </fill>
    <fill>
      <patternFill patternType="solid">
        <fgColor rgb="FFFFF9DB"/>
        <bgColor rgb="FFFDF4E1"/>
      </patternFill>
    </fill>
    <fill>
      <patternFill patternType="solid">
        <fgColor rgb="FF0B3A6E"/>
        <bgColor rgb="FF082B50"/>
      </patternFill>
    </fill>
  </fills>
  <borders count="2">
    <border diagonalUp="false" diagonalDown="false">
      <left/>
      <right/>
      <top/>
      <bottom/>
      <diagonal/>
    </border>
    <border diagonalUp="false" diagonalDown="false">
      <left style="thin">
        <color rgb="FFD1D5DB"/>
      </left>
      <right style="thin">
        <color rgb="FFD1D5DB"/>
      </right>
      <top style="thin">
        <color rgb="FFD1D5DB"/>
      </top>
      <bottom style="thin">
        <color rgb="FFD1D5D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general" vertical="top"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general" vertical="top" textRotation="0" wrapText="true" indent="0" shrinkToFit="false"/>
      <protection locked="true" hidden="false"/>
    </xf>
    <xf numFmtId="164" fontId="13" fillId="2" borderId="1" xfId="0" applyFont="true" applyBorder="true" applyAlignment="true" applyProtection="false">
      <alignment horizontal="general" vertical="top" textRotation="0" wrapText="true" indent="0" shrinkToFit="false"/>
      <protection locked="true" hidden="false"/>
    </xf>
    <xf numFmtId="165" fontId="9" fillId="2" borderId="1" xfId="0" applyFont="true" applyBorder="true" applyAlignment="true" applyProtection="false">
      <alignment horizontal="general" vertical="top" textRotation="0" wrapText="true" indent="0" shrinkToFit="false"/>
      <protection locked="true" hidden="false"/>
    </xf>
    <xf numFmtId="164" fontId="14" fillId="3" borderId="1"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4" fontId="9" fillId="2" borderId="1" xfId="0" applyFont="true" applyBorder="true" applyAlignment="true" applyProtection="false">
      <alignment horizontal="general" vertical="top" textRotation="0" wrapText="true" indent="0" shrinkToFit="false"/>
      <protection locked="true" hidden="false"/>
    </xf>
    <xf numFmtId="165" fontId="13" fillId="2" borderId="1" xfId="0" applyFont="true" applyBorder="true" applyAlignment="true" applyProtection="false">
      <alignment horizontal="general" vertical="top" textRotation="0" wrapText="true" indent="0" shrinkToFit="false"/>
      <protection locked="true" hidden="false"/>
    </xf>
    <xf numFmtId="166" fontId="13" fillId="2" borderId="1" xfId="0" applyFont="true" applyBorder="true" applyAlignment="true" applyProtection="false">
      <alignment horizontal="general" vertical="top" textRotation="0" wrapText="true" indent="0" shrinkToFit="false"/>
      <protection locked="true" hidden="false"/>
    </xf>
    <xf numFmtId="167" fontId="9" fillId="0" borderId="1" xfId="0" applyFont="true" applyBorder="true" applyAlignment="true" applyProtection="false">
      <alignment horizontal="general" vertical="top" textRotation="0" wrapText="true" indent="0" shrinkToFit="false"/>
      <protection locked="true" hidden="false"/>
    </xf>
    <xf numFmtId="166" fontId="9" fillId="0" borderId="1" xfId="0" applyFont="true" applyBorder="true" applyAlignment="true" applyProtection="false">
      <alignment horizontal="general" vertical="top" textRotation="0" wrapText="true" indent="0" shrinkToFit="false"/>
      <protection locked="true" hidden="false"/>
    </xf>
    <xf numFmtId="166" fontId="9" fillId="2" borderId="1" xfId="0" applyFont="true" applyBorder="true" applyAlignment="true" applyProtection="false">
      <alignment horizontal="general" vertical="top" textRotation="0" wrapText="tru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6" fontId="12" fillId="0"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general" vertical="top" textRotation="0" wrapText="true" indent="0" shrinkToFit="false"/>
      <protection locked="true" hidden="false"/>
    </xf>
    <xf numFmtId="168" fontId="9" fillId="0" borderId="1" xfId="0" applyFont="true" applyBorder="true" applyAlignment="true" applyProtection="false">
      <alignment horizontal="general" vertical="top" textRotation="0" wrapText="true" indent="0" shrinkToFit="false"/>
      <protection locked="true" hidden="false"/>
    </xf>
    <xf numFmtId="168" fontId="12" fillId="0" borderId="1"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DF4E1"/>
        </patternFill>
      </fill>
    </dxf>
    <dxf>
      <fill>
        <patternFill>
          <bgColor rgb="FFE5E7EB"/>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B37F12"/>
      <rgbColor rgb="FF800080"/>
      <rgbColor rgb="FF008080"/>
      <rgbColor rgb="FFC0C0C0"/>
      <rgbColor rgb="FF808080"/>
      <rgbColor rgb="FF9999FF"/>
      <rgbColor rgb="FF993366"/>
      <rgbColor rgb="FFFFF9DB"/>
      <rgbColor rgb="FFE5E7EB"/>
      <rgbColor rgb="FF660066"/>
      <rgbColor rgb="FFFF8080"/>
      <rgbColor rgb="FF0066CC"/>
      <rgbColor rgb="FFD1D5DB"/>
      <rgbColor rgb="FF000080"/>
      <rgbColor rgb="FFFF00FF"/>
      <rgbColor rgb="FFFFFF00"/>
      <rgbColor rgb="FF00FFFF"/>
      <rgbColor rgb="FF800080"/>
      <rgbColor rgb="FF800000"/>
      <rgbColor rgb="FF008080"/>
      <rgbColor rgb="FF0000FF"/>
      <rgbColor rgb="FF00CCFF"/>
      <rgbColor rgb="FFCCFFFF"/>
      <rgbColor rgb="FFCCFFCC"/>
      <rgbColor rgb="FFFDF4E1"/>
      <rgbColor rgb="FF99CCFF"/>
      <rgbColor rgb="FFFF99CC"/>
      <rgbColor rgb="FFCC99FF"/>
      <rgbColor rgb="FFFFCC99"/>
      <rgbColor rgb="FF3366FF"/>
      <rgbColor rgb="FF33CCCC"/>
      <rgbColor rgb="FF99CC00"/>
      <rgbColor rgb="FFFFCC00"/>
      <rgbColor rgb="FFFF9900"/>
      <rgbColor rgb="FFFF6600"/>
      <rgbColor rgb="FF6B7280"/>
      <rgbColor rgb="FF969696"/>
      <rgbColor rgb="FF0B3A6E"/>
      <rgbColor rgb="FF339966"/>
      <rgbColor rgb="FF003300"/>
      <rgbColor rgb="FF333300"/>
      <rgbColor rgb="FF993300"/>
      <rgbColor rgb="FF993366"/>
      <rgbColor rgb="FF333399"/>
      <rgbColor rgb="FF082B5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3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10"/>
  </cols>
  <sheetData>
    <row r="1" customFormat="false" ht="15" hidden="false" customHeight="false" outlineLevel="0" collapsed="false">
      <c r="A1" s="1" t="s">
        <v>0</v>
      </c>
    </row>
    <row r="2" customFormat="false" ht="19.7" hidden="false" customHeight="false" outlineLevel="0" collapsed="false">
      <c r="A2" s="2" t="s">
        <v>1</v>
      </c>
    </row>
    <row r="3" customFormat="false" ht="15" hidden="false" customHeight="false" outlineLevel="0" collapsed="false">
      <c r="A3" s="3" t="s">
        <v>2</v>
      </c>
    </row>
    <row r="4" customFormat="false" ht="15" hidden="false" customHeight="false" outlineLevel="0" collapsed="false">
      <c r="A4" s="4" t="s">
        <v>3</v>
      </c>
    </row>
    <row r="6" customFormat="false" ht="15" hidden="false" customHeight="false" outlineLevel="0" collapsed="false">
      <c r="A6" s="5" t="s">
        <v>4</v>
      </c>
    </row>
    <row r="7" customFormat="false" ht="45" hidden="false" customHeight="true" outlineLevel="0" collapsed="false">
      <c r="A7" s="6" t="s">
        <v>5</v>
      </c>
    </row>
    <row r="8" customFormat="false" ht="15" hidden="false" customHeight="false" outlineLevel="0" collapsed="false">
      <c r="A8" s="5" t="s">
        <v>6</v>
      </c>
    </row>
    <row r="9" customFormat="false" ht="60" hidden="false" customHeight="true" outlineLevel="0" collapsed="false">
      <c r="A9" s="6" t="s">
        <v>7</v>
      </c>
    </row>
    <row r="10" customFormat="false" ht="15" hidden="false" customHeight="false" outlineLevel="0" collapsed="false">
      <c r="A10" s="5" t="s">
        <v>8</v>
      </c>
    </row>
    <row r="11" customFormat="false" ht="45" hidden="false" customHeight="true" outlineLevel="0" collapsed="false">
      <c r="A11" s="6" t="s">
        <v>9</v>
      </c>
    </row>
    <row r="12" customFormat="false" ht="15" hidden="false" customHeight="false" outlineLevel="0" collapsed="false">
      <c r="A12" s="5" t="s">
        <v>10</v>
      </c>
    </row>
    <row r="13" customFormat="false" ht="45" hidden="false" customHeight="true" outlineLevel="0" collapsed="false">
      <c r="A13" s="6" t="s">
        <v>11</v>
      </c>
    </row>
    <row r="14" customFormat="false" ht="15" hidden="false" customHeight="false" outlineLevel="0" collapsed="false">
      <c r="A14" s="5" t="s">
        <v>12</v>
      </c>
    </row>
    <row r="15" customFormat="false" ht="90" hidden="false" customHeight="true" outlineLevel="0" collapsed="false">
      <c r="A15" s="6" t="s">
        <v>13</v>
      </c>
    </row>
    <row r="16" customFormat="false" ht="15" hidden="false" customHeight="false" outlineLevel="0" collapsed="false">
      <c r="A16" s="5" t="s">
        <v>14</v>
      </c>
    </row>
    <row r="17" customFormat="false" ht="60" hidden="false" customHeight="true" outlineLevel="0" collapsed="false">
      <c r="A17" s="6" t="s">
        <v>15</v>
      </c>
    </row>
    <row r="18" customFormat="false" ht="15" hidden="false" customHeight="false" outlineLevel="0" collapsed="false">
      <c r="A18" s="5" t="s">
        <v>16</v>
      </c>
    </row>
    <row r="19" customFormat="false" ht="43.5" hidden="false" customHeight="true" outlineLevel="0" collapsed="false">
      <c r="A19" s="6" t="s">
        <v>17</v>
      </c>
    </row>
    <row r="20" customFormat="false" ht="15" hidden="false" customHeight="false" outlineLevel="0" collapsed="false">
      <c r="A20" s="5" t="s">
        <v>18</v>
      </c>
    </row>
    <row r="21" customFormat="false" ht="43.5" hidden="false" customHeight="true" outlineLevel="0" collapsed="false">
      <c r="A21" s="6" t="s">
        <v>19</v>
      </c>
    </row>
    <row r="22" customFormat="false" ht="15" hidden="false" customHeight="false" outlineLevel="0" collapsed="false">
      <c r="A22" s="5" t="s">
        <v>20</v>
      </c>
    </row>
    <row r="23" customFormat="false" ht="45" hidden="false" customHeight="true" outlineLevel="0" collapsed="false">
      <c r="A23" s="6" t="s">
        <v>21</v>
      </c>
    </row>
    <row r="24" customFormat="false" ht="15" hidden="false" customHeight="false" outlineLevel="0" collapsed="false">
      <c r="A24" s="5" t="s">
        <v>22</v>
      </c>
    </row>
    <row r="25" customFormat="false" ht="180" hidden="false" customHeight="true" outlineLevel="0" collapsed="false">
      <c r="A25" s="6" t="s">
        <v>23</v>
      </c>
    </row>
    <row r="26" customFormat="false" ht="15" hidden="false" customHeight="false" outlineLevel="0" collapsed="false">
      <c r="A26" s="5" t="s">
        <v>24</v>
      </c>
    </row>
    <row r="27" customFormat="false" ht="45" hidden="false" customHeight="true" outlineLevel="0" collapsed="false">
      <c r="A27" s="6" t="s">
        <v>25</v>
      </c>
    </row>
    <row r="29" customFormat="false" ht="15" hidden="false" customHeight="false" outlineLevel="0" collapsed="false">
      <c r="A29" s="7" t="s">
        <v>26</v>
      </c>
    </row>
    <row r="30" customFormat="false" ht="15" hidden="false" customHeight="false" outlineLevel="0" collapsed="false">
      <c r="A30" s="8" t="s">
        <v>27</v>
      </c>
    </row>
  </sheetData>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E06 — monassocultuelle.com</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2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2"/>
    <col collapsed="false" customWidth="true" hidden="false" outlineLevel="0" max="2" min="2" style="0" width="16"/>
    <col collapsed="false" customWidth="true" hidden="false" outlineLevel="0" max="3" min="3" style="0" width="22"/>
    <col collapsed="false" customWidth="true" hidden="false" outlineLevel="0" max="4" min="4" style="0" width="16"/>
    <col collapsed="false" customWidth="true" hidden="false" outlineLevel="0" max="5" min="5" style="0" width="50"/>
  </cols>
  <sheetData>
    <row r="1" customFormat="false" ht="15" hidden="false" customHeight="false" outlineLevel="0" collapsed="false">
      <c r="A1" s="1" t="s">
        <v>0</v>
      </c>
    </row>
    <row r="2" customFormat="false" ht="19.7" hidden="false" customHeight="false" outlineLevel="0" collapsed="false">
      <c r="A2" s="2" t="s">
        <v>28</v>
      </c>
    </row>
    <row r="3" customFormat="false" ht="15" hidden="false" customHeight="false" outlineLevel="0" collapsed="false">
      <c r="A3" s="3" t="s">
        <v>29</v>
      </c>
    </row>
    <row r="4" customFormat="false" ht="15" hidden="false" customHeight="false" outlineLevel="0" collapsed="false">
      <c r="A4" s="4" t="s">
        <v>3</v>
      </c>
    </row>
    <row r="6" customFormat="false" ht="15" hidden="false" customHeight="true" outlineLevel="0" collapsed="false">
      <c r="A6" s="9" t="s">
        <v>30</v>
      </c>
      <c r="B6" s="10" t="s">
        <v>31</v>
      </c>
      <c r="C6" s="10"/>
    </row>
    <row r="7" customFormat="false" ht="15" hidden="false" customHeight="false" outlineLevel="0" collapsed="false">
      <c r="A7" s="9" t="s">
        <v>32</v>
      </c>
      <c r="B7" s="11" t="n">
        <v>46753</v>
      </c>
    </row>
    <row r="8" customFormat="false" ht="15" hidden="false" customHeight="false" outlineLevel="0" collapsed="false">
      <c r="A8" s="9" t="s">
        <v>33</v>
      </c>
      <c r="B8" s="11" t="n">
        <v>47118</v>
      </c>
    </row>
    <row r="10" customFormat="false" ht="30" hidden="false" customHeight="true" outlineLevel="0" collapsed="false">
      <c r="A10" s="12" t="s">
        <v>34</v>
      </c>
      <c r="B10" s="12" t="s">
        <v>35</v>
      </c>
      <c r="C10" s="12" t="s">
        <v>36</v>
      </c>
      <c r="D10" s="12" t="s">
        <v>37</v>
      </c>
      <c r="E10" s="12" t="s">
        <v>38</v>
      </c>
    </row>
    <row r="11" customFormat="false" ht="15" hidden="false" customHeight="false" outlineLevel="0" collapsed="false">
      <c r="A11" s="13" t="s">
        <v>39</v>
      </c>
      <c r="B11" s="14" t="n">
        <v>0</v>
      </c>
      <c r="C11" s="13" t="s">
        <v>40</v>
      </c>
      <c r="D11" s="13" t="s">
        <v>41</v>
      </c>
      <c r="E11" s="13" t="s">
        <v>42</v>
      </c>
    </row>
    <row r="12" customFormat="false" ht="15" hidden="false" customHeight="false" outlineLevel="0" collapsed="false">
      <c r="A12" s="13" t="s">
        <v>43</v>
      </c>
      <c r="B12" s="14" t="n">
        <v>50</v>
      </c>
      <c r="C12" s="13" t="s">
        <v>44</v>
      </c>
      <c r="D12" s="13" t="s">
        <v>45</v>
      </c>
      <c r="E12" s="13" t="s">
        <v>46</v>
      </c>
    </row>
    <row r="13" customFormat="false" ht="15" hidden="false" customHeight="false" outlineLevel="0" collapsed="false">
      <c r="A13" s="13" t="s">
        <v>47</v>
      </c>
      <c r="B13" s="14" t="n">
        <v>25</v>
      </c>
      <c r="C13" s="13" t="s">
        <v>48</v>
      </c>
      <c r="D13" s="13" t="s">
        <v>45</v>
      </c>
      <c r="E13" s="13" t="s">
        <v>49</v>
      </c>
    </row>
    <row r="14" customFormat="false" ht="15" hidden="false" customHeight="false" outlineLevel="0" collapsed="false">
      <c r="A14" s="13" t="s">
        <v>50</v>
      </c>
      <c r="B14" s="14" t="n">
        <v>25</v>
      </c>
      <c r="C14" s="13" t="s">
        <v>48</v>
      </c>
      <c r="D14" s="13" t="s">
        <v>45</v>
      </c>
      <c r="E14" s="13" t="s">
        <v>51</v>
      </c>
    </row>
    <row r="15" customFormat="false" ht="15" hidden="false" customHeight="false" outlineLevel="0" collapsed="false">
      <c r="A15" s="13" t="s">
        <v>52</v>
      </c>
      <c r="B15" s="14" t="n">
        <v>20</v>
      </c>
      <c r="C15" s="13" t="s">
        <v>53</v>
      </c>
      <c r="D15" s="13" t="s">
        <v>54</v>
      </c>
      <c r="E15" s="13" t="s">
        <v>55</v>
      </c>
    </row>
    <row r="16" customFormat="false" ht="15" hidden="false" customHeight="false" outlineLevel="0" collapsed="false">
      <c r="A16" s="13" t="s">
        <v>56</v>
      </c>
      <c r="B16" s="14" t="n">
        <v>10</v>
      </c>
      <c r="C16" s="13" t="s">
        <v>57</v>
      </c>
      <c r="D16" s="13" t="s">
        <v>54</v>
      </c>
      <c r="E16" s="13" t="s">
        <v>58</v>
      </c>
    </row>
    <row r="17" customFormat="false" ht="15" hidden="false" customHeight="false" outlineLevel="0" collapsed="false">
      <c r="A17" s="13" t="s">
        <v>59</v>
      </c>
      <c r="B17" s="14" t="n">
        <v>20</v>
      </c>
      <c r="C17" s="13" t="s">
        <v>53</v>
      </c>
      <c r="D17" s="13" t="s">
        <v>54</v>
      </c>
      <c r="E17" s="13" t="s">
        <v>60</v>
      </c>
    </row>
    <row r="18" customFormat="false" ht="15" hidden="false" customHeight="false" outlineLevel="0" collapsed="false">
      <c r="A18" s="13" t="s">
        <v>61</v>
      </c>
      <c r="B18" s="14" t="n">
        <v>10</v>
      </c>
      <c r="C18" s="13" t="s">
        <v>62</v>
      </c>
      <c r="D18" s="13" t="s">
        <v>54</v>
      </c>
      <c r="E18" s="13" t="s">
        <v>63</v>
      </c>
    </row>
    <row r="19" customFormat="false" ht="15" hidden="false" customHeight="false" outlineLevel="0" collapsed="false">
      <c r="A19" s="13" t="s">
        <v>64</v>
      </c>
      <c r="B19" s="14" t="n">
        <v>5</v>
      </c>
      <c r="C19" s="13" t="s">
        <v>65</v>
      </c>
      <c r="D19" s="13" t="s">
        <v>66</v>
      </c>
      <c r="E19" s="13" t="s">
        <v>67</v>
      </c>
    </row>
    <row r="20" customFormat="false" ht="15" hidden="false" customHeight="false" outlineLevel="0" collapsed="false">
      <c r="A20" s="13" t="s">
        <v>68</v>
      </c>
      <c r="B20" s="14" t="n">
        <v>10</v>
      </c>
      <c r="C20" s="13" t="s">
        <v>62</v>
      </c>
      <c r="D20" s="13" t="s">
        <v>69</v>
      </c>
      <c r="E20" s="13" t="s">
        <v>70</v>
      </c>
    </row>
    <row r="21" customFormat="false" ht="15" hidden="false" customHeight="false" outlineLevel="0" collapsed="false">
      <c r="A21" s="13" t="s">
        <v>71</v>
      </c>
      <c r="B21" s="14" t="n">
        <v>5</v>
      </c>
      <c r="C21" s="13" t="s">
        <v>72</v>
      </c>
      <c r="D21" s="13" t="s">
        <v>73</v>
      </c>
      <c r="E21" s="13"/>
    </row>
    <row r="22" customFormat="false" ht="23.85" hidden="false" customHeight="false" outlineLevel="0" collapsed="false">
      <c r="A22" s="13" t="s">
        <v>74</v>
      </c>
      <c r="B22" s="14" t="n">
        <v>0</v>
      </c>
      <c r="C22" s="13" t="s">
        <v>75</v>
      </c>
      <c r="D22" s="13" t="s">
        <v>76</v>
      </c>
      <c r="E22" s="13" t="s">
        <v>77</v>
      </c>
    </row>
    <row r="23" customFormat="false" ht="15" hidden="false" customHeight="false" outlineLevel="0" collapsed="false">
      <c r="A23" s="13" t="s">
        <v>78</v>
      </c>
      <c r="B23" s="14" t="n">
        <v>10</v>
      </c>
      <c r="C23" s="13" t="s">
        <v>79</v>
      </c>
      <c r="D23" s="13" t="s">
        <v>79</v>
      </c>
      <c r="E23" s="13" t="s">
        <v>80</v>
      </c>
    </row>
    <row r="26" customFormat="false" ht="15" hidden="false" customHeight="false" outlineLevel="0" collapsed="false">
      <c r="A26" s="7" t="s">
        <v>26</v>
      </c>
    </row>
    <row r="27" customFormat="false" ht="15" hidden="false" customHeight="false" outlineLevel="0" collapsed="false">
      <c r="A27" s="8" t="s">
        <v>27</v>
      </c>
    </row>
  </sheetData>
  <mergeCells count="1">
    <mergeCell ref="B6:C6"/>
  </mergeCell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E06 — monassocultuelle.com</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5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3" ySplit="6" topLeftCell="D7" activePane="bottomRight" state="frozen"/>
      <selection pane="topLeft" activeCell="A1" activeCellId="0" sqref="A1"/>
      <selection pane="topRight" activeCell="D1" activeCellId="0" sqref="D1"/>
      <selection pane="bottomLeft" activeCell="A7" activeCellId="0" sqref="A7"/>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30"/>
    <col collapsed="false" customWidth="true" hidden="false" outlineLevel="0" max="3" min="3" style="0" width="26"/>
    <col collapsed="false" customWidth="true" hidden="false" outlineLevel="0" max="4" min="4" style="0" width="30"/>
    <col collapsed="false" customWidth="true" hidden="false" outlineLevel="0" max="5" min="5" style="0" width="16"/>
    <col collapsed="false" customWidth="true" hidden="false" outlineLevel="0" max="6" min="6" style="0" width="13"/>
    <col collapsed="false" customWidth="true" hidden="false" outlineLevel="0" max="7" min="7" style="0" width="14"/>
    <col collapsed="false" customWidth="true" hidden="false" outlineLevel="0" max="9" min="8" style="0" width="11"/>
    <col collapsed="false" customWidth="true" hidden="false" outlineLevel="0" max="12" min="10" style="0" width="15"/>
    <col collapsed="false" customWidth="true" hidden="false" outlineLevel="0" max="13" min="13" style="0" width="14"/>
    <col collapsed="false" customWidth="true" hidden="false" outlineLevel="0" max="14" min="14" style="0" width="13"/>
    <col collapsed="false" customWidth="true" hidden="false" outlineLevel="0" max="15" min="15" style="0" width="15"/>
    <col collapsed="false" customWidth="true" hidden="false" outlineLevel="0" max="16" min="16" style="0" width="30"/>
  </cols>
  <sheetData>
    <row r="1" customFormat="false" ht="15" hidden="false" customHeight="false" outlineLevel="0" collapsed="false">
      <c r="A1" s="1" t="s">
        <v>0</v>
      </c>
    </row>
    <row r="2" customFormat="false" ht="19.7" hidden="false" customHeight="false" outlineLevel="0" collapsed="false">
      <c r="A2" s="2" t="s">
        <v>81</v>
      </c>
    </row>
    <row r="3" customFormat="false" ht="15" hidden="false" customHeight="false" outlineLevel="0" collapsed="false">
      <c r="A3" s="3" t="s">
        <v>82</v>
      </c>
    </row>
    <row r="4" customFormat="false" ht="15" hidden="false" customHeight="false" outlineLevel="0" collapsed="false">
      <c r="A4" s="4" t="s">
        <v>3</v>
      </c>
    </row>
    <row r="6" customFormat="false" ht="43.5" hidden="false" customHeight="true" outlineLevel="0" collapsed="false">
      <c r="A6" s="12" t="s">
        <v>83</v>
      </c>
      <c r="B6" s="12" t="s">
        <v>84</v>
      </c>
      <c r="C6" s="12" t="s">
        <v>85</v>
      </c>
      <c r="D6" s="12" t="s">
        <v>34</v>
      </c>
      <c r="E6" s="12" t="s">
        <v>86</v>
      </c>
      <c r="F6" s="12" t="s">
        <v>87</v>
      </c>
      <c r="G6" s="12" t="s">
        <v>88</v>
      </c>
      <c r="H6" s="12" t="s">
        <v>89</v>
      </c>
      <c r="I6" s="12" t="s">
        <v>90</v>
      </c>
      <c r="J6" s="12" t="s">
        <v>91</v>
      </c>
      <c r="K6" s="12" t="s">
        <v>92</v>
      </c>
      <c r="L6" s="12" t="s">
        <v>93</v>
      </c>
      <c r="M6" s="12" t="s">
        <v>94</v>
      </c>
      <c r="N6" s="12" t="s">
        <v>95</v>
      </c>
      <c r="O6" s="12" t="s">
        <v>96</v>
      </c>
      <c r="P6" s="12" t="s">
        <v>97</v>
      </c>
    </row>
    <row r="7" customFormat="false" ht="23.85" hidden="false" customHeight="false" outlineLevel="0" collapsed="false">
      <c r="A7" s="13" t="n">
        <v>1</v>
      </c>
      <c r="B7" s="10" t="s">
        <v>98</v>
      </c>
      <c r="C7" s="10" t="s">
        <v>39</v>
      </c>
      <c r="D7" s="10" t="s">
        <v>39</v>
      </c>
      <c r="E7" s="10" t="s">
        <v>99</v>
      </c>
      <c r="F7" s="15" t="n">
        <v>46569</v>
      </c>
      <c r="G7" s="16" t="n">
        <v>86000</v>
      </c>
      <c r="H7" s="10"/>
      <c r="I7" s="17" t="n">
        <f aca="false">IF(D7="","",IF(H7&lt;&gt;"",H7,IFERROR(VLOOKUP(D7,Paramètres!$A$11:$B$23,2,FALSE()),0)))</f>
        <v>0</v>
      </c>
      <c r="J7" s="18" t="n">
        <f aca="false">IF($G7="","",IF(OR($I7=0,$G7="",$F7=""),0,IF(IF(AND($N7&lt;&gt;"",$N7&lt;Paramètres!$B$7),$N7,Paramètres!$B$7-1)&lt;$F7,0,MIN($G7,ROUND($G7/$I7*(DAYS360($F7,IF(AND($N7&lt;&gt;"",$N7&lt;Paramètres!$B$7),$N7,Paramètres!$B$7-1),TRUE())+1)/360,2)))))</f>
        <v>0</v>
      </c>
      <c r="K7" s="18" t="n">
        <f aca="false">IF($G7="","",L7-J7)</f>
        <v>0</v>
      </c>
      <c r="L7" s="18" t="n">
        <f aca="false">IF($G7="","",IF(OR($I7=0,$G7="",$F7=""),0,IF(IF(AND($N7&lt;&gt;"",$N7&lt;Paramètres!$B$8),$N7,Paramètres!$B$8)&lt;$F7,0,MIN($G7,ROUND($G7/$I7*(DAYS360($F7,IF(AND($N7&lt;&gt;"",$N7&lt;Paramètres!$B$8),$N7,Paramètres!$B$8),TRUE())+1)/360,2)))))</f>
        <v>0</v>
      </c>
      <c r="M7" s="19"/>
      <c r="N7" s="11"/>
      <c r="O7" s="18" t="n">
        <f aca="false">IF($G7="","",IF(AND(N7&lt;&gt;"",N7&lt;=Paramètres!$B$8),0,G7-L7-N(M7)))</f>
        <v>86000</v>
      </c>
      <c r="P7" s="10" t="s">
        <v>100</v>
      </c>
    </row>
    <row r="8" customFormat="false" ht="15" hidden="false" customHeight="false" outlineLevel="0" collapsed="false">
      <c r="A8" s="13" t="n">
        <v>2</v>
      </c>
      <c r="B8" s="10" t="s">
        <v>98</v>
      </c>
      <c r="C8" s="10" t="s">
        <v>101</v>
      </c>
      <c r="D8" s="10" t="s">
        <v>43</v>
      </c>
      <c r="E8" s="10" t="s">
        <v>99</v>
      </c>
      <c r="F8" s="15" t="n">
        <v>46569</v>
      </c>
      <c r="G8" s="16" t="n">
        <v>215000</v>
      </c>
      <c r="H8" s="10"/>
      <c r="I8" s="17" t="n">
        <f aca="false">IF(D8="","",IF(H8&lt;&gt;"",H8,IFERROR(VLOOKUP(D8,Paramètres!$A$11:$B$23,2,FALSE()),0)))</f>
        <v>50</v>
      </c>
      <c r="J8" s="18" t="n">
        <f aca="false">IF($G8="","",IF(OR($I8=0,$G8="",$F8=""),0,IF(IF(AND($N8&lt;&gt;"",$N8&lt;Paramètres!$B$7),$N8,Paramètres!$B$7-1)&lt;$F8,0,MIN($G8,ROUND($G8/$I8*(DAYS360($F8,IF(AND($N8&lt;&gt;"",$N8&lt;Paramètres!$B$7),$N8,Paramètres!$B$7-1),TRUE())+1)/360,2)))))</f>
        <v>2150</v>
      </c>
      <c r="K8" s="18" t="n">
        <f aca="false">IF($G8="","",L8-J8)</f>
        <v>4300</v>
      </c>
      <c r="L8" s="18" t="n">
        <f aca="false">IF($G8="","",IF(OR($I8=0,$G8="",$F8=""),0,IF(IF(AND($N8&lt;&gt;"",$N8&lt;Paramètres!$B$8),$N8,Paramètres!$B$8)&lt;$F8,0,MIN($G8,ROUND($G8/$I8*(DAYS360($F8,IF(AND($N8&lt;&gt;"",$N8&lt;Paramètres!$B$8),$N8,Paramètres!$B$8),TRUE())+1)/360,2)))))</f>
        <v>6450</v>
      </c>
      <c r="M8" s="19"/>
      <c r="N8" s="11"/>
      <c r="O8" s="18" t="n">
        <f aca="false">IF($G8="","",IF(AND(N8&lt;&gt;"",N8&lt;=Paramètres!$B$8),0,G8-L8-N(M8)))</f>
        <v>208550</v>
      </c>
      <c r="P8" s="10"/>
    </row>
    <row r="9" customFormat="false" ht="15" hidden="false" customHeight="false" outlineLevel="0" collapsed="false">
      <c r="A9" s="13" t="n">
        <v>3</v>
      </c>
      <c r="B9" s="10" t="s">
        <v>98</v>
      </c>
      <c r="C9" s="10" t="s">
        <v>102</v>
      </c>
      <c r="D9" s="10" t="s">
        <v>47</v>
      </c>
      <c r="E9" s="10" t="s">
        <v>99</v>
      </c>
      <c r="F9" s="15" t="n">
        <v>46569</v>
      </c>
      <c r="G9" s="16" t="n">
        <v>43000</v>
      </c>
      <c r="H9" s="10"/>
      <c r="I9" s="17" t="n">
        <f aca="false">IF(D9="","",IF(H9&lt;&gt;"",H9,IFERROR(VLOOKUP(D9,Paramètres!$A$11:$B$23,2,FALSE()),0)))</f>
        <v>25</v>
      </c>
      <c r="J9" s="18" t="n">
        <f aca="false">IF($G9="","",IF(OR($I9=0,$G9="",$F9=""),0,IF(IF(AND($N9&lt;&gt;"",$N9&lt;Paramètres!$B$7),$N9,Paramètres!$B$7-1)&lt;$F9,0,MIN($G9,ROUND($G9/$I9*(DAYS360($F9,IF(AND($N9&lt;&gt;"",$N9&lt;Paramètres!$B$7),$N9,Paramètres!$B$7-1),TRUE())+1)/360,2)))))</f>
        <v>860</v>
      </c>
      <c r="K9" s="18" t="n">
        <f aca="false">IF($G9="","",L9-J9)</f>
        <v>1720</v>
      </c>
      <c r="L9" s="18" t="n">
        <f aca="false">IF($G9="","",IF(OR($I9=0,$G9="",$F9=""),0,IF(IF(AND($N9&lt;&gt;"",$N9&lt;Paramètres!$B$8),$N9,Paramètres!$B$8)&lt;$F9,0,MIN($G9,ROUND($G9/$I9*(DAYS360($F9,IF(AND($N9&lt;&gt;"",$N9&lt;Paramètres!$B$8),$N9,Paramètres!$B$8),TRUE())+1)/360,2)))))</f>
        <v>2580</v>
      </c>
      <c r="M9" s="19"/>
      <c r="N9" s="11"/>
      <c r="O9" s="18" t="n">
        <f aca="false">IF($G9="","",IF(AND(N9&lt;&gt;"",N9&lt;=Paramètres!$B$8),0,G9-L9-N(M9)))</f>
        <v>40420</v>
      </c>
      <c r="P9" s="10"/>
    </row>
    <row r="10" customFormat="false" ht="23.85" hidden="false" customHeight="false" outlineLevel="0" collapsed="false">
      <c r="A10" s="13" t="n">
        <v>4</v>
      </c>
      <c r="B10" s="10" t="s">
        <v>98</v>
      </c>
      <c r="C10" s="10" t="s">
        <v>103</v>
      </c>
      <c r="D10" s="10" t="s">
        <v>52</v>
      </c>
      <c r="E10" s="10" t="s">
        <v>99</v>
      </c>
      <c r="F10" s="15" t="n">
        <v>46569</v>
      </c>
      <c r="G10" s="16" t="n">
        <v>51600</v>
      </c>
      <c r="H10" s="10"/>
      <c r="I10" s="17" t="n">
        <f aca="false">IF(D10="","",IF(H10&lt;&gt;"",H10,IFERROR(VLOOKUP(D10,Paramètres!$A$11:$B$23,2,FALSE()),0)))</f>
        <v>20</v>
      </c>
      <c r="J10" s="18" t="n">
        <f aca="false">IF($G10="","",IF(OR($I10=0,$G10="",$F10=""),0,IF(IF(AND($N10&lt;&gt;"",$N10&lt;Paramètres!$B$7),$N10,Paramètres!$B$7-1)&lt;$F10,0,MIN($G10,ROUND($G10/$I10*(DAYS360($F10,IF(AND($N10&lt;&gt;"",$N10&lt;Paramètres!$B$7),$N10,Paramètres!$B$7-1),TRUE())+1)/360,2)))))</f>
        <v>1290</v>
      </c>
      <c r="K10" s="18" t="n">
        <f aca="false">IF($G10="","",L10-J10)</f>
        <v>2580</v>
      </c>
      <c r="L10" s="18" t="n">
        <f aca="false">IF($G10="","",IF(OR($I10=0,$G10="",$F10=""),0,IF(IF(AND($N10&lt;&gt;"",$N10&lt;Paramètres!$B$8),$N10,Paramètres!$B$8)&lt;$F10,0,MIN($G10,ROUND($G10/$I10*(DAYS360($F10,IF(AND($N10&lt;&gt;"",$N10&lt;Paramètres!$B$8),$N10,Paramètres!$B$8),TRUE())+1)/360,2)))))</f>
        <v>3870</v>
      </c>
      <c r="M10" s="19"/>
      <c r="N10" s="11"/>
      <c r="O10" s="18" t="n">
        <f aca="false">IF($G10="","",IF(AND(N10&lt;&gt;"",N10&lt;=Paramètres!$B$8),0,G10-L10-N(M10)))</f>
        <v>47730</v>
      </c>
      <c r="P10" s="10"/>
    </row>
    <row r="11" customFormat="false" ht="15" hidden="false" customHeight="false" outlineLevel="0" collapsed="false">
      <c r="A11" s="13" t="n">
        <v>5</v>
      </c>
      <c r="B11" s="10" t="s">
        <v>98</v>
      </c>
      <c r="C11" s="10" t="s">
        <v>104</v>
      </c>
      <c r="D11" s="10" t="s">
        <v>56</v>
      </c>
      <c r="E11" s="10" t="s">
        <v>99</v>
      </c>
      <c r="F11" s="15" t="n">
        <v>46569</v>
      </c>
      <c r="G11" s="16" t="n">
        <v>34400</v>
      </c>
      <c r="H11" s="10"/>
      <c r="I11" s="17" t="n">
        <f aca="false">IF(D11="","",IF(H11&lt;&gt;"",H11,IFERROR(VLOOKUP(D11,Paramètres!$A$11:$B$23,2,FALSE()),0)))</f>
        <v>10</v>
      </c>
      <c r="J11" s="18" t="n">
        <f aca="false">IF($G11="","",IF(OR($I11=0,$G11="",$F11=""),0,IF(IF(AND($N11&lt;&gt;"",$N11&lt;Paramètres!$B$7),$N11,Paramètres!$B$7-1)&lt;$F11,0,MIN($G11,ROUND($G11/$I11*(DAYS360($F11,IF(AND($N11&lt;&gt;"",$N11&lt;Paramètres!$B$7),$N11,Paramètres!$B$7-1),TRUE())+1)/360,2)))))</f>
        <v>1720</v>
      </c>
      <c r="K11" s="18" t="n">
        <f aca="false">IF($G11="","",L11-J11)</f>
        <v>3440</v>
      </c>
      <c r="L11" s="18" t="n">
        <f aca="false">IF($G11="","",IF(OR($I11=0,$G11="",$F11=""),0,IF(IF(AND($N11&lt;&gt;"",$N11&lt;Paramètres!$B$8),$N11,Paramètres!$B$8)&lt;$F11,0,MIN($G11,ROUND($G11/$I11*(DAYS360($F11,IF(AND($N11&lt;&gt;"",$N11&lt;Paramètres!$B$8),$N11,Paramètres!$B$8),TRUE())+1)/360,2)))))</f>
        <v>5160</v>
      </c>
      <c r="M11" s="19"/>
      <c r="N11" s="11"/>
      <c r="O11" s="18" t="n">
        <f aca="false">IF($G11="","",IF(AND(N11&lt;&gt;"",N11&lt;=Paramètres!$B$8),0,G11-L11-N(M11)))</f>
        <v>29240</v>
      </c>
      <c r="P11" s="10"/>
    </row>
    <row r="12" customFormat="false" ht="15" hidden="false" customHeight="false" outlineLevel="0" collapsed="false">
      <c r="A12" s="13" t="n">
        <v>6</v>
      </c>
      <c r="B12" s="10" t="s">
        <v>98</v>
      </c>
      <c r="C12" s="10" t="s">
        <v>105</v>
      </c>
      <c r="D12" s="10" t="s">
        <v>59</v>
      </c>
      <c r="E12" s="10" t="s">
        <v>106</v>
      </c>
      <c r="F12" s="15" t="n">
        <v>46844</v>
      </c>
      <c r="G12" s="16" t="n">
        <v>60000</v>
      </c>
      <c r="H12" s="10"/>
      <c r="I12" s="17" t="n">
        <f aca="false">IF(D12="","",IF(H12&lt;&gt;"",H12,IFERROR(VLOOKUP(D12,Paramètres!$A$11:$B$23,2,FALSE()),0)))</f>
        <v>20</v>
      </c>
      <c r="J12" s="18" t="n">
        <f aca="false">IF($G12="","",IF(OR($I12=0,$G12="",$F12=""),0,IF(IF(AND($N12&lt;&gt;"",$N12&lt;Paramètres!$B$7),$N12,Paramètres!$B$7-1)&lt;$F12,0,MIN($G12,ROUND($G12/$I12*(DAYS360($F12,IF(AND($N12&lt;&gt;"",$N12&lt;Paramètres!$B$7),$N12,Paramètres!$B$7-1),TRUE())+1)/360,2)))))</f>
        <v>0</v>
      </c>
      <c r="K12" s="18" t="n">
        <f aca="false">IF($G12="","",L12-J12)</f>
        <v>2250</v>
      </c>
      <c r="L12" s="18" t="n">
        <f aca="false">IF($G12="","",IF(OR($I12=0,$G12="",$F12=""),0,IF(IF(AND($N12&lt;&gt;"",$N12&lt;Paramètres!$B$8),$N12,Paramètres!$B$8)&lt;$F12,0,MIN($G12,ROUND($G12/$I12*(DAYS360($F12,IF(AND($N12&lt;&gt;"",$N12&lt;Paramètres!$B$8),$N12,Paramètres!$B$8),TRUE())+1)/360,2)))))</f>
        <v>2250</v>
      </c>
      <c r="M12" s="19"/>
      <c r="N12" s="11"/>
      <c r="O12" s="18" t="n">
        <f aca="false">IF($G12="","",IF(AND(N12&lt;&gt;"",N12&lt;=Paramètres!$B$8),0,G12-L12-N(M12)))</f>
        <v>57750</v>
      </c>
      <c r="P12" s="10"/>
    </row>
    <row r="13" customFormat="false" ht="15" hidden="false" customHeight="false" outlineLevel="0" collapsed="false">
      <c r="A13" s="13" t="n">
        <v>7</v>
      </c>
      <c r="B13" s="10" t="s">
        <v>107</v>
      </c>
      <c r="C13" s="10" t="s">
        <v>108</v>
      </c>
      <c r="D13" s="10" t="s">
        <v>64</v>
      </c>
      <c r="E13" s="10" t="s">
        <v>99</v>
      </c>
      <c r="F13" s="15" t="n">
        <v>46266</v>
      </c>
      <c r="G13" s="16" t="n">
        <v>12000</v>
      </c>
      <c r="H13" s="10"/>
      <c r="I13" s="17" t="n">
        <f aca="false">IF(D13="","",IF(H13&lt;&gt;"",H13,IFERROR(VLOOKUP(D13,Paramètres!$A$11:$B$23,2,FALSE()),0)))</f>
        <v>5</v>
      </c>
      <c r="J13" s="18" t="n">
        <f aca="false">IF($G13="","",IF(OR($I13=0,$G13="",$F13=""),0,IF(IF(AND($N13&lt;&gt;"",$N13&lt;Paramètres!$B$7),$N13,Paramètres!$B$7-1)&lt;$F13,0,MIN($G13,ROUND($G13/$I13*(DAYS360($F13,IF(AND($N13&lt;&gt;"",$N13&lt;Paramètres!$B$7),$N13,Paramètres!$B$7-1),TRUE())+1)/360,2)))))</f>
        <v>3200</v>
      </c>
      <c r="K13" s="18" t="n">
        <f aca="false">IF($G13="","",L13-J13)</f>
        <v>2400</v>
      </c>
      <c r="L13" s="18" t="n">
        <f aca="false">IF($G13="","",IF(OR($I13=0,$G13="",$F13=""),0,IF(IF(AND($N13&lt;&gt;"",$N13&lt;Paramètres!$B$8),$N13,Paramètres!$B$8)&lt;$F13,0,MIN($G13,ROUND($G13/$I13*(DAYS360($F13,IF(AND($N13&lt;&gt;"",$N13&lt;Paramètres!$B$8),$N13,Paramètres!$B$8),TRUE())+1)/360,2)))))</f>
        <v>5600</v>
      </c>
      <c r="M13" s="19"/>
      <c r="N13" s="11"/>
      <c r="O13" s="18" t="n">
        <f aca="false">IF($G13="","",IF(AND(N13&lt;&gt;"",N13&lt;=Paramètres!$B$8),0,G13-L13-N(M13)))</f>
        <v>6400</v>
      </c>
      <c r="P13" s="10"/>
    </row>
    <row r="14" customFormat="false" ht="23.85" hidden="false" customHeight="false" outlineLevel="0" collapsed="false">
      <c r="A14" s="13" t="n">
        <v>8</v>
      </c>
      <c r="B14" s="10" t="s">
        <v>109</v>
      </c>
      <c r="C14" s="10" t="s">
        <v>110</v>
      </c>
      <c r="D14" s="10" t="s">
        <v>74</v>
      </c>
      <c r="E14" s="10" t="s">
        <v>111</v>
      </c>
      <c r="F14" s="15" t="n">
        <v>46827</v>
      </c>
      <c r="G14" s="16" t="n">
        <v>150000</v>
      </c>
      <c r="H14" s="10"/>
      <c r="I14" s="17" t="n">
        <f aca="false">IF(D14="","",IF(H14&lt;&gt;"",H14,IFERROR(VLOOKUP(D14,Paramètres!$A$11:$B$23,2,FALSE()),0)))</f>
        <v>0</v>
      </c>
      <c r="J14" s="18" t="n">
        <f aca="false">IF($G14="","",IF(OR($I14=0,$G14="",$F14=""),0,IF(IF(AND($N14&lt;&gt;"",$N14&lt;Paramètres!$B$7),$N14,Paramètres!$B$7-1)&lt;$F14,0,MIN($G14,ROUND($G14/$I14*(DAYS360($F14,IF(AND($N14&lt;&gt;"",$N14&lt;Paramètres!$B$7),$N14,Paramètres!$B$7-1),TRUE())+1)/360,2)))))</f>
        <v>0</v>
      </c>
      <c r="K14" s="18" t="n">
        <f aca="false">IF($G14="","",L14-J14)</f>
        <v>0</v>
      </c>
      <c r="L14" s="18" t="n">
        <f aca="false">IF($G14="","",IF(OR($I14=0,$G14="",$F14=""),0,IF(IF(AND($N14&lt;&gt;"",$N14&lt;Paramètres!$B$8),$N14,Paramètres!$B$8)&lt;$F14,0,MIN($G14,ROUND($G14/$I14*(DAYS360($F14,IF(AND($N14&lt;&gt;"",$N14&lt;Paramètres!$B$8),$N14,Paramètres!$B$8),TRUE())+1)/360,2)))))</f>
        <v>0</v>
      </c>
      <c r="M14" s="19"/>
      <c r="N14" s="11"/>
      <c r="O14" s="18" t="n">
        <f aca="false">IF($G14="","",IF(AND(N14&lt;&gt;"",N14&lt;=Paramètres!$B$8),0,G14-L14-N(M14)))</f>
        <v>150000</v>
      </c>
      <c r="P14" s="10" t="s">
        <v>112</v>
      </c>
    </row>
    <row r="15" customFormat="false" ht="15" hidden="false" customHeight="false" outlineLevel="0" collapsed="false">
      <c r="A15" s="13" t="n">
        <v>9</v>
      </c>
      <c r="B15" s="14"/>
      <c r="C15" s="14"/>
      <c r="D15" s="14"/>
      <c r="E15" s="14"/>
      <c r="F15" s="11"/>
      <c r="G15" s="19"/>
      <c r="H15" s="14"/>
      <c r="I15" s="17" t="str">
        <f aca="false">IF(D15="","",IF(H15&lt;&gt;"",H15,IFERROR(VLOOKUP(D15,Paramètres!$A$11:$B$23,2,FALSE()),0)))</f>
        <v/>
      </c>
      <c r="J15" s="18" t="str">
        <f aca="false">IF($G15="","",IF(OR($I15=0,$G15="",$F15=""),0,IF(IF(AND($N15&lt;&gt;"",$N15&lt;Paramètres!$B$7),$N15,Paramètres!$B$7-1)&lt;$F15,0,MIN($G15,ROUND($G15/$I15*(DAYS360($F15,IF(AND($N15&lt;&gt;"",$N15&lt;Paramètres!$B$7),$N15,Paramètres!$B$7-1),TRUE())+1)/360,2)))))</f>
        <v/>
      </c>
      <c r="K15" s="18" t="str">
        <f aca="false">IF($G15="","",L15-J15)</f>
        <v/>
      </c>
      <c r="L15" s="18" t="str">
        <f aca="false">IF($G15="","",IF(OR($I15=0,$G15="",$F15=""),0,IF(IF(AND($N15&lt;&gt;"",$N15&lt;Paramètres!$B$8),$N15,Paramètres!$B$8)&lt;$F15,0,MIN($G15,ROUND($G15/$I15*(DAYS360($F15,IF(AND($N15&lt;&gt;"",$N15&lt;Paramètres!$B$8),$N15,Paramètres!$B$8),TRUE())+1)/360,2)))))</f>
        <v/>
      </c>
      <c r="M15" s="19"/>
      <c r="N15" s="11"/>
      <c r="O15" s="18" t="str">
        <f aca="false">IF($G15="","",IF(AND(N15&lt;&gt;"",N15&lt;=Paramètres!$B$8),0,G15-L15-N(M15)))</f>
        <v/>
      </c>
      <c r="P15" s="14"/>
    </row>
    <row r="16" customFormat="false" ht="15" hidden="false" customHeight="false" outlineLevel="0" collapsed="false">
      <c r="A16" s="13" t="n">
        <v>10</v>
      </c>
      <c r="B16" s="14"/>
      <c r="C16" s="14"/>
      <c r="D16" s="14"/>
      <c r="E16" s="14"/>
      <c r="F16" s="11"/>
      <c r="G16" s="19"/>
      <c r="H16" s="14"/>
      <c r="I16" s="17" t="str">
        <f aca="false">IF(D16="","",IF(H16&lt;&gt;"",H16,IFERROR(VLOOKUP(D16,Paramètres!$A$11:$B$23,2,FALSE()),0)))</f>
        <v/>
      </c>
      <c r="J16" s="18" t="str">
        <f aca="false">IF($G16="","",IF(OR($I16=0,$G16="",$F16=""),0,IF(IF(AND($N16&lt;&gt;"",$N16&lt;Paramètres!$B$7),$N16,Paramètres!$B$7-1)&lt;$F16,0,MIN($G16,ROUND($G16/$I16*(DAYS360($F16,IF(AND($N16&lt;&gt;"",$N16&lt;Paramètres!$B$7),$N16,Paramètres!$B$7-1),TRUE())+1)/360,2)))))</f>
        <v/>
      </c>
      <c r="K16" s="18" t="str">
        <f aca="false">IF($G16="","",L16-J16)</f>
        <v/>
      </c>
      <c r="L16" s="18" t="str">
        <f aca="false">IF($G16="","",IF(OR($I16=0,$G16="",$F16=""),0,IF(IF(AND($N16&lt;&gt;"",$N16&lt;Paramètres!$B$8),$N16,Paramètres!$B$8)&lt;$F16,0,MIN($G16,ROUND($G16/$I16*(DAYS360($F16,IF(AND($N16&lt;&gt;"",$N16&lt;Paramètres!$B$8),$N16,Paramètres!$B$8),TRUE())+1)/360,2)))))</f>
        <v/>
      </c>
      <c r="M16" s="19"/>
      <c r="N16" s="11"/>
      <c r="O16" s="18" t="str">
        <f aca="false">IF($G16="","",IF(AND(N16&lt;&gt;"",N16&lt;=Paramètres!$B$8),0,G16-L16-N(M16)))</f>
        <v/>
      </c>
      <c r="P16" s="14"/>
    </row>
    <row r="17" customFormat="false" ht="15" hidden="false" customHeight="false" outlineLevel="0" collapsed="false">
      <c r="A17" s="13" t="n">
        <v>11</v>
      </c>
      <c r="B17" s="14"/>
      <c r="C17" s="14"/>
      <c r="D17" s="14"/>
      <c r="E17" s="14"/>
      <c r="F17" s="11"/>
      <c r="G17" s="19"/>
      <c r="H17" s="14"/>
      <c r="I17" s="17" t="str">
        <f aca="false">IF(D17="","",IF(H17&lt;&gt;"",H17,IFERROR(VLOOKUP(D17,Paramètres!$A$11:$B$23,2,FALSE()),0)))</f>
        <v/>
      </c>
      <c r="J17" s="18" t="str">
        <f aca="false">IF($G17="","",IF(OR($I17=0,$G17="",$F17=""),0,IF(IF(AND($N17&lt;&gt;"",$N17&lt;Paramètres!$B$7),$N17,Paramètres!$B$7-1)&lt;$F17,0,MIN($G17,ROUND($G17/$I17*(DAYS360($F17,IF(AND($N17&lt;&gt;"",$N17&lt;Paramètres!$B$7),$N17,Paramètres!$B$7-1),TRUE())+1)/360,2)))))</f>
        <v/>
      </c>
      <c r="K17" s="18" t="str">
        <f aca="false">IF($G17="","",L17-J17)</f>
        <v/>
      </c>
      <c r="L17" s="18" t="str">
        <f aca="false">IF($G17="","",IF(OR($I17=0,$G17="",$F17=""),0,IF(IF(AND($N17&lt;&gt;"",$N17&lt;Paramètres!$B$8),$N17,Paramètres!$B$8)&lt;$F17,0,MIN($G17,ROUND($G17/$I17*(DAYS360($F17,IF(AND($N17&lt;&gt;"",$N17&lt;Paramètres!$B$8),$N17,Paramètres!$B$8),TRUE())+1)/360,2)))))</f>
        <v/>
      </c>
      <c r="M17" s="19"/>
      <c r="N17" s="11"/>
      <c r="O17" s="18" t="str">
        <f aca="false">IF($G17="","",IF(AND(N17&lt;&gt;"",N17&lt;=Paramètres!$B$8),0,G17-L17-N(M17)))</f>
        <v/>
      </c>
      <c r="P17" s="14"/>
    </row>
    <row r="18" customFormat="false" ht="15" hidden="false" customHeight="false" outlineLevel="0" collapsed="false">
      <c r="A18" s="13" t="n">
        <v>12</v>
      </c>
      <c r="B18" s="14"/>
      <c r="C18" s="14"/>
      <c r="D18" s="14"/>
      <c r="E18" s="14"/>
      <c r="F18" s="11"/>
      <c r="G18" s="19"/>
      <c r="H18" s="14"/>
      <c r="I18" s="17" t="str">
        <f aca="false">IF(D18="","",IF(H18&lt;&gt;"",H18,IFERROR(VLOOKUP(D18,Paramètres!$A$11:$B$23,2,FALSE()),0)))</f>
        <v/>
      </c>
      <c r="J18" s="18" t="str">
        <f aca="false">IF($G18="","",IF(OR($I18=0,$G18="",$F18=""),0,IF(IF(AND($N18&lt;&gt;"",$N18&lt;Paramètres!$B$7),$N18,Paramètres!$B$7-1)&lt;$F18,0,MIN($G18,ROUND($G18/$I18*(DAYS360($F18,IF(AND($N18&lt;&gt;"",$N18&lt;Paramètres!$B$7),$N18,Paramètres!$B$7-1),TRUE())+1)/360,2)))))</f>
        <v/>
      </c>
      <c r="K18" s="18" t="str">
        <f aca="false">IF($G18="","",L18-J18)</f>
        <v/>
      </c>
      <c r="L18" s="18" t="str">
        <f aca="false">IF($G18="","",IF(OR($I18=0,$G18="",$F18=""),0,IF(IF(AND($N18&lt;&gt;"",$N18&lt;Paramètres!$B$8),$N18,Paramètres!$B$8)&lt;$F18,0,MIN($G18,ROUND($G18/$I18*(DAYS360($F18,IF(AND($N18&lt;&gt;"",$N18&lt;Paramètres!$B$8),$N18,Paramètres!$B$8),TRUE())+1)/360,2)))))</f>
        <v/>
      </c>
      <c r="M18" s="19"/>
      <c r="N18" s="11"/>
      <c r="O18" s="18" t="str">
        <f aca="false">IF($G18="","",IF(AND(N18&lt;&gt;"",N18&lt;=Paramètres!$B$8),0,G18-L18-N(M18)))</f>
        <v/>
      </c>
      <c r="P18" s="14"/>
    </row>
    <row r="19" customFormat="false" ht="15" hidden="false" customHeight="false" outlineLevel="0" collapsed="false">
      <c r="A19" s="13" t="n">
        <v>13</v>
      </c>
      <c r="B19" s="14"/>
      <c r="C19" s="14"/>
      <c r="D19" s="14"/>
      <c r="E19" s="14"/>
      <c r="F19" s="11"/>
      <c r="G19" s="19"/>
      <c r="H19" s="14"/>
      <c r="I19" s="17" t="str">
        <f aca="false">IF(D19="","",IF(H19&lt;&gt;"",H19,IFERROR(VLOOKUP(D19,Paramètres!$A$11:$B$23,2,FALSE()),0)))</f>
        <v/>
      </c>
      <c r="J19" s="18" t="str">
        <f aca="false">IF($G19="","",IF(OR($I19=0,$G19="",$F19=""),0,IF(IF(AND($N19&lt;&gt;"",$N19&lt;Paramètres!$B$7),$N19,Paramètres!$B$7-1)&lt;$F19,0,MIN($G19,ROUND($G19/$I19*(DAYS360($F19,IF(AND($N19&lt;&gt;"",$N19&lt;Paramètres!$B$7),$N19,Paramètres!$B$7-1),TRUE())+1)/360,2)))))</f>
        <v/>
      </c>
      <c r="K19" s="18" t="str">
        <f aca="false">IF($G19="","",L19-J19)</f>
        <v/>
      </c>
      <c r="L19" s="18" t="str">
        <f aca="false">IF($G19="","",IF(OR($I19=0,$G19="",$F19=""),0,IF(IF(AND($N19&lt;&gt;"",$N19&lt;Paramètres!$B$8),$N19,Paramètres!$B$8)&lt;$F19,0,MIN($G19,ROUND($G19/$I19*(DAYS360($F19,IF(AND($N19&lt;&gt;"",$N19&lt;Paramètres!$B$8),$N19,Paramètres!$B$8),TRUE())+1)/360,2)))))</f>
        <v/>
      </c>
      <c r="M19" s="19"/>
      <c r="N19" s="11"/>
      <c r="O19" s="18" t="str">
        <f aca="false">IF($G19="","",IF(AND(N19&lt;&gt;"",N19&lt;=Paramètres!$B$8),0,G19-L19-N(M19)))</f>
        <v/>
      </c>
      <c r="P19" s="14"/>
    </row>
    <row r="20" customFormat="false" ht="15" hidden="false" customHeight="false" outlineLevel="0" collapsed="false">
      <c r="A20" s="13" t="n">
        <v>14</v>
      </c>
      <c r="B20" s="14"/>
      <c r="C20" s="14"/>
      <c r="D20" s="14"/>
      <c r="E20" s="14"/>
      <c r="F20" s="11"/>
      <c r="G20" s="19"/>
      <c r="H20" s="14"/>
      <c r="I20" s="17" t="str">
        <f aca="false">IF(D20="","",IF(H20&lt;&gt;"",H20,IFERROR(VLOOKUP(D20,Paramètres!$A$11:$B$23,2,FALSE()),0)))</f>
        <v/>
      </c>
      <c r="J20" s="18" t="str">
        <f aca="false">IF($G20="","",IF(OR($I20=0,$G20="",$F20=""),0,IF(IF(AND($N20&lt;&gt;"",$N20&lt;Paramètres!$B$7),$N20,Paramètres!$B$7-1)&lt;$F20,0,MIN($G20,ROUND($G20/$I20*(DAYS360($F20,IF(AND($N20&lt;&gt;"",$N20&lt;Paramètres!$B$7),$N20,Paramètres!$B$7-1),TRUE())+1)/360,2)))))</f>
        <v/>
      </c>
      <c r="K20" s="18" t="str">
        <f aca="false">IF($G20="","",L20-J20)</f>
        <v/>
      </c>
      <c r="L20" s="18" t="str">
        <f aca="false">IF($G20="","",IF(OR($I20=0,$G20="",$F20=""),0,IF(IF(AND($N20&lt;&gt;"",$N20&lt;Paramètres!$B$8),$N20,Paramètres!$B$8)&lt;$F20,0,MIN($G20,ROUND($G20/$I20*(DAYS360($F20,IF(AND($N20&lt;&gt;"",$N20&lt;Paramètres!$B$8),$N20,Paramètres!$B$8),TRUE())+1)/360,2)))))</f>
        <v/>
      </c>
      <c r="M20" s="19"/>
      <c r="N20" s="11"/>
      <c r="O20" s="18" t="str">
        <f aca="false">IF($G20="","",IF(AND(N20&lt;&gt;"",N20&lt;=Paramètres!$B$8),0,G20-L20-N(M20)))</f>
        <v/>
      </c>
      <c r="P20" s="14"/>
    </row>
    <row r="21" customFormat="false" ht="15" hidden="false" customHeight="false" outlineLevel="0" collapsed="false">
      <c r="A21" s="13" t="n">
        <v>15</v>
      </c>
      <c r="B21" s="14"/>
      <c r="C21" s="14"/>
      <c r="D21" s="14"/>
      <c r="E21" s="14"/>
      <c r="F21" s="11"/>
      <c r="G21" s="19"/>
      <c r="H21" s="14"/>
      <c r="I21" s="17" t="str">
        <f aca="false">IF(D21="","",IF(H21&lt;&gt;"",H21,IFERROR(VLOOKUP(D21,Paramètres!$A$11:$B$23,2,FALSE()),0)))</f>
        <v/>
      </c>
      <c r="J21" s="18" t="str">
        <f aca="false">IF($G21="","",IF(OR($I21=0,$G21="",$F21=""),0,IF(IF(AND($N21&lt;&gt;"",$N21&lt;Paramètres!$B$7),$N21,Paramètres!$B$7-1)&lt;$F21,0,MIN($G21,ROUND($G21/$I21*(DAYS360($F21,IF(AND($N21&lt;&gt;"",$N21&lt;Paramètres!$B$7),$N21,Paramètres!$B$7-1),TRUE())+1)/360,2)))))</f>
        <v/>
      </c>
      <c r="K21" s="18" t="str">
        <f aca="false">IF($G21="","",L21-J21)</f>
        <v/>
      </c>
      <c r="L21" s="18" t="str">
        <f aca="false">IF($G21="","",IF(OR($I21=0,$G21="",$F21=""),0,IF(IF(AND($N21&lt;&gt;"",$N21&lt;Paramètres!$B$8),$N21,Paramètres!$B$8)&lt;$F21,0,MIN($G21,ROUND($G21/$I21*(DAYS360($F21,IF(AND($N21&lt;&gt;"",$N21&lt;Paramètres!$B$8),$N21,Paramètres!$B$8),TRUE())+1)/360,2)))))</f>
        <v/>
      </c>
      <c r="M21" s="19"/>
      <c r="N21" s="11"/>
      <c r="O21" s="18" t="str">
        <f aca="false">IF($G21="","",IF(AND(N21&lt;&gt;"",N21&lt;=Paramètres!$B$8),0,G21-L21-N(M21)))</f>
        <v/>
      </c>
      <c r="P21" s="14"/>
    </row>
    <row r="22" customFormat="false" ht="15" hidden="false" customHeight="false" outlineLevel="0" collapsed="false">
      <c r="A22" s="13" t="n">
        <v>16</v>
      </c>
      <c r="B22" s="14"/>
      <c r="C22" s="14"/>
      <c r="D22" s="14"/>
      <c r="E22" s="14"/>
      <c r="F22" s="11"/>
      <c r="G22" s="19"/>
      <c r="H22" s="14"/>
      <c r="I22" s="17" t="str">
        <f aca="false">IF(D22="","",IF(H22&lt;&gt;"",H22,IFERROR(VLOOKUP(D22,Paramètres!$A$11:$B$23,2,FALSE()),0)))</f>
        <v/>
      </c>
      <c r="J22" s="18" t="str">
        <f aca="false">IF($G22="","",IF(OR($I22=0,$G22="",$F22=""),0,IF(IF(AND($N22&lt;&gt;"",$N22&lt;Paramètres!$B$7),$N22,Paramètres!$B$7-1)&lt;$F22,0,MIN($G22,ROUND($G22/$I22*(DAYS360($F22,IF(AND($N22&lt;&gt;"",$N22&lt;Paramètres!$B$7),$N22,Paramètres!$B$7-1),TRUE())+1)/360,2)))))</f>
        <v/>
      </c>
      <c r="K22" s="18" t="str">
        <f aca="false">IF($G22="","",L22-J22)</f>
        <v/>
      </c>
      <c r="L22" s="18" t="str">
        <f aca="false">IF($G22="","",IF(OR($I22=0,$G22="",$F22=""),0,IF(IF(AND($N22&lt;&gt;"",$N22&lt;Paramètres!$B$8),$N22,Paramètres!$B$8)&lt;$F22,0,MIN($G22,ROUND($G22/$I22*(DAYS360($F22,IF(AND($N22&lt;&gt;"",$N22&lt;Paramètres!$B$8),$N22,Paramètres!$B$8),TRUE())+1)/360,2)))))</f>
        <v/>
      </c>
      <c r="M22" s="19"/>
      <c r="N22" s="11"/>
      <c r="O22" s="18" t="str">
        <f aca="false">IF($G22="","",IF(AND(N22&lt;&gt;"",N22&lt;=Paramètres!$B$8),0,G22-L22-N(M22)))</f>
        <v/>
      </c>
      <c r="P22" s="14"/>
    </row>
    <row r="23" customFormat="false" ht="15" hidden="false" customHeight="false" outlineLevel="0" collapsed="false">
      <c r="A23" s="13" t="n">
        <v>17</v>
      </c>
      <c r="B23" s="14"/>
      <c r="C23" s="14"/>
      <c r="D23" s="14"/>
      <c r="E23" s="14"/>
      <c r="F23" s="11"/>
      <c r="G23" s="19"/>
      <c r="H23" s="14"/>
      <c r="I23" s="17" t="str">
        <f aca="false">IF(D23="","",IF(H23&lt;&gt;"",H23,IFERROR(VLOOKUP(D23,Paramètres!$A$11:$B$23,2,FALSE()),0)))</f>
        <v/>
      </c>
      <c r="J23" s="18" t="str">
        <f aca="false">IF($G23="","",IF(OR($I23=0,$G23="",$F23=""),0,IF(IF(AND($N23&lt;&gt;"",$N23&lt;Paramètres!$B$7),$N23,Paramètres!$B$7-1)&lt;$F23,0,MIN($G23,ROUND($G23/$I23*(DAYS360($F23,IF(AND($N23&lt;&gt;"",$N23&lt;Paramètres!$B$7),$N23,Paramètres!$B$7-1),TRUE())+1)/360,2)))))</f>
        <v/>
      </c>
      <c r="K23" s="18" t="str">
        <f aca="false">IF($G23="","",L23-J23)</f>
        <v/>
      </c>
      <c r="L23" s="18" t="str">
        <f aca="false">IF($G23="","",IF(OR($I23=0,$G23="",$F23=""),0,IF(IF(AND($N23&lt;&gt;"",$N23&lt;Paramètres!$B$8),$N23,Paramètres!$B$8)&lt;$F23,0,MIN($G23,ROUND($G23/$I23*(DAYS360($F23,IF(AND($N23&lt;&gt;"",$N23&lt;Paramètres!$B$8),$N23,Paramètres!$B$8),TRUE())+1)/360,2)))))</f>
        <v/>
      </c>
      <c r="M23" s="19"/>
      <c r="N23" s="11"/>
      <c r="O23" s="18" t="str">
        <f aca="false">IF($G23="","",IF(AND(N23&lt;&gt;"",N23&lt;=Paramètres!$B$8),0,G23-L23-N(M23)))</f>
        <v/>
      </c>
      <c r="P23" s="14"/>
    </row>
    <row r="24" customFormat="false" ht="15" hidden="false" customHeight="false" outlineLevel="0" collapsed="false">
      <c r="A24" s="13" t="n">
        <v>18</v>
      </c>
      <c r="B24" s="14"/>
      <c r="C24" s="14"/>
      <c r="D24" s="14"/>
      <c r="E24" s="14"/>
      <c r="F24" s="11"/>
      <c r="G24" s="19"/>
      <c r="H24" s="14"/>
      <c r="I24" s="17" t="str">
        <f aca="false">IF(D24="","",IF(H24&lt;&gt;"",H24,IFERROR(VLOOKUP(D24,Paramètres!$A$11:$B$23,2,FALSE()),0)))</f>
        <v/>
      </c>
      <c r="J24" s="18" t="str">
        <f aca="false">IF($G24="","",IF(OR($I24=0,$G24="",$F24=""),0,IF(IF(AND($N24&lt;&gt;"",$N24&lt;Paramètres!$B$7),$N24,Paramètres!$B$7-1)&lt;$F24,0,MIN($G24,ROUND($G24/$I24*(DAYS360($F24,IF(AND($N24&lt;&gt;"",$N24&lt;Paramètres!$B$7),$N24,Paramètres!$B$7-1),TRUE())+1)/360,2)))))</f>
        <v/>
      </c>
      <c r="K24" s="18" t="str">
        <f aca="false">IF($G24="","",L24-J24)</f>
        <v/>
      </c>
      <c r="L24" s="18" t="str">
        <f aca="false">IF($G24="","",IF(OR($I24=0,$G24="",$F24=""),0,IF(IF(AND($N24&lt;&gt;"",$N24&lt;Paramètres!$B$8),$N24,Paramètres!$B$8)&lt;$F24,0,MIN($G24,ROUND($G24/$I24*(DAYS360($F24,IF(AND($N24&lt;&gt;"",$N24&lt;Paramètres!$B$8),$N24,Paramètres!$B$8),TRUE())+1)/360,2)))))</f>
        <v/>
      </c>
      <c r="M24" s="19"/>
      <c r="N24" s="11"/>
      <c r="O24" s="18" t="str">
        <f aca="false">IF($G24="","",IF(AND(N24&lt;&gt;"",N24&lt;=Paramètres!$B$8),0,G24-L24-N(M24)))</f>
        <v/>
      </c>
      <c r="P24" s="14"/>
    </row>
    <row r="25" customFormat="false" ht="15" hidden="false" customHeight="false" outlineLevel="0" collapsed="false">
      <c r="A25" s="13" t="n">
        <v>19</v>
      </c>
      <c r="B25" s="14"/>
      <c r="C25" s="14"/>
      <c r="D25" s="14"/>
      <c r="E25" s="14"/>
      <c r="F25" s="11"/>
      <c r="G25" s="19"/>
      <c r="H25" s="14"/>
      <c r="I25" s="17" t="str">
        <f aca="false">IF(D25="","",IF(H25&lt;&gt;"",H25,IFERROR(VLOOKUP(D25,Paramètres!$A$11:$B$23,2,FALSE()),0)))</f>
        <v/>
      </c>
      <c r="J25" s="18" t="str">
        <f aca="false">IF($G25="","",IF(OR($I25=0,$G25="",$F25=""),0,IF(IF(AND($N25&lt;&gt;"",$N25&lt;Paramètres!$B$7),$N25,Paramètres!$B$7-1)&lt;$F25,0,MIN($G25,ROUND($G25/$I25*(DAYS360($F25,IF(AND($N25&lt;&gt;"",$N25&lt;Paramètres!$B$7),$N25,Paramètres!$B$7-1),TRUE())+1)/360,2)))))</f>
        <v/>
      </c>
      <c r="K25" s="18" t="str">
        <f aca="false">IF($G25="","",L25-J25)</f>
        <v/>
      </c>
      <c r="L25" s="18" t="str">
        <f aca="false">IF($G25="","",IF(OR($I25=0,$G25="",$F25=""),0,IF(IF(AND($N25&lt;&gt;"",$N25&lt;Paramètres!$B$8),$N25,Paramètres!$B$8)&lt;$F25,0,MIN($G25,ROUND($G25/$I25*(DAYS360($F25,IF(AND($N25&lt;&gt;"",$N25&lt;Paramètres!$B$8),$N25,Paramètres!$B$8),TRUE())+1)/360,2)))))</f>
        <v/>
      </c>
      <c r="M25" s="19"/>
      <c r="N25" s="11"/>
      <c r="O25" s="18" t="str">
        <f aca="false">IF($G25="","",IF(AND(N25&lt;&gt;"",N25&lt;=Paramètres!$B$8),0,G25-L25-N(M25)))</f>
        <v/>
      </c>
      <c r="P25" s="14"/>
    </row>
    <row r="26" customFormat="false" ht="15" hidden="false" customHeight="false" outlineLevel="0" collapsed="false">
      <c r="A26" s="13" t="n">
        <v>20</v>
      </c>
      <c r="B26" s="14"/>
      <c r="C26" s="14"/>
      <c r="D26" s="14"/>
      <c r="E26" s="14"/>
      <c r="F26" s="11"/>
      <c r="G26" s="19"/>
      <c r="H26" s="14"/>
      <c r="I26" s="17" t="str">
        <f aca="false">IF(D26="","",IF(H26&lt;&gt;"",H26,IFERROR(VLOOKUP(D26,Paramètres!$A$11:$B$23,2,FALSE()),0)))</f>
        <v/>
      </c>
      <c r="J26" s="18" t="str">
        <f aca="false">IF($G26="","",IF(OR($I26=0,$G26="",$F26=""),0,IF(IF(AND($N26&lt;&gt;"",$N26&lt;Paramètres!$B$7),$N26,Paramètres!$B$7-1)&lt;$F26,0,MIN($G26,ROUND($G26/$I26*(DAYS360($F26,IF(AND($N26&lt;&gt;"",$N26&lt;Paramètres!$B$7),$N26,Paramètres!$B$7-1),TRUE())+1)/360,2)))))</f>
        <v/>
      </c>
      <c r="K26" s="18" t="str">
        <f aca="false">IF($G26="","",L26-J26)</f>
        <v/>
      </c>
      <c r="L26" s="18" t="str">
        <f aca="false">IF($G26="","",IF(OR($I26=0,$G26="",$F26=""),0,IF(IF(AND($N26&lt;&gt;"",$N26&lt;Paramètres!$B$8),$N26,Paramètres!$B$8)&lt;$F26,0,MIN($G26,ROUND($G26/$I26*(DAYS360($F26,IF(AND($N26&lt;&gt;"",$N26&lt;Paramètres!$B$8),$N26,Paramètres!$B$8),TRUE())+1)/360,2)))))</f>
        <v/>
      </c>
      <c r="M26" s="19"/>
      <c r="N26" s="11"/>
      <c r="O26" s="18" t="str">
        <f aca="false">IF($G26="","",IF(AND(N26&lt;&gt;"",N26&lt;=Paramètres!$B$8),0,G26-L26-N(M26)))</f>
        <v/>
      </c>
      <c r="P26" s="14"/>
    </row>
    <row r="27" customFormat="false" ht="15" hidden="false" customHeight="false" outlineLevel="0" collapsed="false">
      <c r="A27" s="13" t="n">
        <v>21</v>
      </c>
      <c r="B27" s="14"/>
      <c r="C27" s="14"/>
      <c r="D27" s="14"/>
      <c r="E27" s="14"/>
      <c r="F27" s="11"/>
      <c r="G27" s="19"/>
      <c r="H27" s="14"/>
      <c r="I27" s="17" t="str">
        <f aca="false">IF(D27="","",IF(H27&lt;&gt;"",H27,IFERROR(VLOOKUP(D27,Paramètres!$A$11:$B$23,2,FALSE()),0)))</f>
        <v/>
      </c>
      <c r="J27" s="18" t="str">
        <f aca="false">IF($G27="","",IF(OR($I27=0,$G27="",$F27=""),0,IF(IF(AND($N27&lt;&gt;"",$N27&lt;Paramètres!$B$7),$N27,Paramètres!$B$7-1)&lt;$F27,0,MIN($G27,ROUND($G27/$I27*(DAYS360($F27,IF(AND($N27&lt;&gt;"",$N27&lt;Paramètres!$B$7),$N27,Paramètres!$B$7-1),TRUE())+1)/360,2)))))</f>
        <v/>
      </c>
      <c r="K27" s="18" t="str">
        <f aca="false">IF($G27="","",L27-J27)</f>
        <v/>
      </c>
      <c r="L27" s="18" t="str">
        <f aca="false">IF($G27="","",IF(OR($I27=0,$G27="",$F27=""),0,IF(IF(AND($N27&lt;&gt;"",$N27&lt;Paramètres!$B$8),$N27,Paramètres!$B$8)&lt;$F27,0,MIN($G27,ROUND($G27/$I27*(DAYS360($F27,IF(AND($N27&lt;&gt;"",$N27&lt;Paramètres!$B$8),$N27,Paramètres!$B$8),TRUE())+1)/360,2)))))</f>
        <v/>
      </c>
      <c r="M27" s="19"/>
      <c r="N27" s="11"/>
      <c r="O27" s="18" t="str">
        <f aca="false">IF($G27="","",IF(AND(N27&lt;&gt;"",N27&lt;=Paramètres!$B$8),0,G27-L27-N(M27)))</f>
        <v/>
      </c>
      <c r="P27" s="14"/>
    </row>
    <row r="28" customFormat="false" ht="15" hidden="false" customHeight="false" outlineLevel="0" collapsed="false">
      <c r="A28" s="13" t="n">
        <v>22</v>
      </c>
      <c r="B28" s="14"/>
      <c r="C28" s="14"/>
      <c r="D28" s="14"/>
      <c r="E28" s="14"/>
      <c r="F28" s="11"/>
      <c r="G28" s="19"/>
      <c r="H28" s="14"/>
      <c r="I28" s="17" t="str">
        <f aca="false">IF(D28="","",IF(H28&lt;&gt;"",H28,IFERROR(VLOOKUP(D28,Paramètres!$A$11:$B$23,2,FALSE()),0)))</f>
        <v/>
      </c>
      <c r="J28" s="18" t="str">
        <f aca="false">IF($G28="","",IF(OR($I28=0,$G28="",$F28=""),0,IF(IF(AND($N28&lt;&gt;"",$N28&lt;Paramètres!$B$7),$N28,Paramètres!$B$7-1)&lt;$F28,0,MIN($G28,ROUND($G28/$I28*(DAYS360($F28,IF(AND($N28&lt;&gt;"",$N28&lt;Paramètres!$B$7),$N28,Paramètres!$B$7-1),TRUE())+1)/360,2)))))</f>
        <v/>
      </c>
      <c r="K28" s="18" t="str">
        <f aca="false">IF($G28="","",L28-J28)</f>
        <v/>
      </c>
      <c r="L28" s="18" t="str">
        <f aca="false">IF($G28="","",IF(OR($I28=0,$G28="",$F28=""),0,IF(IF(AND($N28&lt;&gt;"",$N28&lt;Paramètres!$B$8),$N28,Paramètres!$B$8)&lt;$F28,0,MIN($G28,ROUND($G28/$I28*(DAYS360($F28,IF(AND($N28&lt;&gt;"",$N28&lt;Paramètres!$B$8),$N28,Paramètres!$B$8),TRUE())+1)/360,2)))))</f>
        <v/>
      </c>
      <c r="M28" s="19"/>
      <c r="N28" s="11"/>
      <c r="O28" s="18" t="str">
        <f aca="false">IF($G28="","",IF(AND(N28&lt;&gt;"",N28&lt;=Paramètres!$B$8),0,G28-L28-N(M28)))</f>
        <v/>
      </c>
      <c r="P28" s="14"/>
    </row>
    <row r="29" customFormat="false" ht="15" hidden="false" customHeight="false" outlineLevel="0" collapsed="false">
      <c r="A29" s="13" t="n">
        <v>23</v>
      </c>
      <c r="B29" s="14"/>
      <c r="C29" s="14"/>
      <c r="D29" s="14"/>
      <c r="E29" s="14"/>
      <c r="F29" s="11"/>
      <c r="G29" s="19"/>
      <c r="H29" s="14"/>
      <c r="I29" s="17" t="str">
        <f aca="false">IF(D29="","",IF(H29&lt;&gt;"",H29,IFERROR(VLOOKUP(D29,Paramètres!$A$11:$B$23,2,FALSE()),0)))</f>
        <v/>
      </c>
      <c r="J29" s="18" t="str">
        <f aca="false">IF($G29="","",IF(OR($I29=0,$G29="",$F29=""),0,IF(IF(AND($N29&lt;&gt;"",$N29&lt;Paramètres!$B$7),$N29,Paramètres!$B$7-1)&lt;$F29,0,MIN($G29,ROUND($G29/$I29*(DAYS360($F29,IF(AND($N29&lt;&gt;"",$N29&lt;Paramètres!$B$7),$N29,Paramètres!$B$7-1),TRUE())+1)/360,2)))))</f>
        <v/>
      </c>
      <c r="K29" s="18" t="str">
        <f aca="false">IF($G29="","",L29-J29)</f>
        <v/>
      </c>
      <c r="L29" s="18" t="str">
        <f aca="false">IF($G29="","",IF(OR($I29=0,$G29="",$F29=""),0,IF(IF(AND($N29&lt;&gt;"",$N29&lt;Paramètres!$B$8),$N29,Paramètres!$B$8)&lt;$F29,0,MIN($G29,ROUND($G29/$I29*(DAYS360($F29,IF(AND($N29&lt;&gt;"",$N29&lt;Paramètres!$B$8),$N29,Paramètres!$B$8),TRUE())+1)/360,2)))))</f>
        <v/>
      </c>
      <c r="M29" s="19"/>
      <c r="N29" s="11"/>
      <c r="O29" s="18" t="str">
        <f aca="false">IF($G29="","",IF(AND(N29&lt;&gt;"",N29&lt;=Paramètres!$B$8),0,G29-L29-N(M29)))</f>
        <v/>
      </c>
      <c r="P29" s="14"/>
    </row>
    <row r="30" customFormat="false" ht="15" hidden="false" customHeight="false" outlineLevel="0" collapsed="false">
      <c r="A30" s="13" t="n">
        <v>24</v>
      </c>
      <c r="B30" s="14"/>
      <c r="C30" s="14"/>
      <c r="D30" s="14"/>
      <c r="E30" s="14"/>
      <c r="F30" s="11"/>
      <c r="G30" s="19"/>
      <c r="H30" s="14"/>
      <c r="I30" s="17" t="str">
        <f aca="false">IF(D30="","",IF(H30&lt;&gt;"",H30,IFERROR(VLOOKUP(D30,Paramètres!$A$11:$B$23,2,FALSE()),0)))</f>
        <v/>
      </c>
      <c r="J30" s="18" t="str">
        <f aca="false">IF($G30="","",IF(OR($I30=0,$G30="",$F30=""),0,IF(IF(AND($N30&lt;&gt;"",$N30&lt;Paramètres!$B$7),$N30,Paramètres!$B$7-1)&lt;$F30,0,MIN($G30,ROUND($G30/$I30*(DAYS360($F30,IF(AND($N30&lt;&gt;"",$N30&lt;Paramètres!$B$7),$N30,Paramètres!$B$7-1),TRUE())+1)/360,2)))))</f>
        <v/>
      </c>
      <c r="K30" s="18" t="str">
        <f aca="false">IF($G30="","",L30-J30)</f>
        <v/>
      </c>
      <c r="L30" s="18" t="str">
        <f aca="false">IF($G30="","",IF(OR($I30=0,$G30="",$F30=""),0,IF(IF(AND($N30&lt;&gt;"",$N30&lt;Paramètres!$B$8),$N30,Paramètres!$B$8)&lt;$F30,0,MIN($G30,ROUND($G30/$I30*(DAYS360($F30,IF(AND($N30&lt;&gt;"",$N30&lt;Paramètres!$B$8),$N30,Paramètres!$B$8),TRUE())+1)/360,2)))))</f>
        <v/>
      </c>
      <c r="M30" s="19"/>
      <c r="N30" s="11"/>
      <c r="O30" s="18" t="str">
        <f aca="false">IF($G30="","",IF(AND(N30&lt;&gt;"",N30&lt;=Paramètres!$B$8),0,G30-L30-N(M30)))</f>
        <v/>
      </c>
      <c r="P30" s="14"/>
    </row>
    <row r="31" customFormat="false" ht="15" hidden="false" customHeight="false" outlineLevel="0" collapsed="false">
      <c r="A31" s="13" t="n">
        <v>25</v>
      </c>
      <c r="B31" s="14"/>
      <c r="C31" s="14"/>
      <c r="D31" s="14"/>
      <c r="E31" s="14"/>
      <c r="F31" s="11"/>
      <c r="G31" s="19"/>
      <c r="H31" s="14"/>
      <c r="I31" s="17" t="str">
        <f aca="false">IF(D31="","",IF(H31&lt;&gt;"",H31,IFERROR(VLOOKUP(D31,Paramètres!$A$11:$B$23,2,FALSE()),0)))</f>
        <v/>
      </c>
      <c r="J31" s="18" t="str">
        <f aca="false">IF($G31="","",IF(OR($I31=0,$G31="",$F31=""),0,IF(IF(AND($N31&lt;&gt;"",$N31&lt;Paramètres!$B$7),$N31,Paramètres!$B$7-1)&lt;$F31,0,MIN($G31,ROUND($G31/$I31*(DAYS360($F31,IF(AND($N31&lt;&gt;"",$N31&lt;Paramètres!$B$7),$N31,Paramètres!$B$7-1),TRUE())+1)/360,2)))))</f>
        <v/>
      </c>
      <c r="K31" s="18" t="str">
        <f aca="false">IF($G31="","",L31-J31)</f>
        <v/>
      </c>
      <c r="L31" s="18" t="str">
        <f aca="false">IF($G31="","",IF(OR($I31=0,$G31="",$F31=""),0,IF(IF(AND($N31&lt;&gt;"",$N31&lt;Paramètres!$B$8),$N31,Paramètres!$B$8)&lt;$F31,0,MIN($G31,ROUND($G31/$I31*(DAYS360($F31,IF(AND($N31&lt;&gt;"",$N31&lt;Paramètres!$B$8),$N31,Paramètres!$B$8),TRUE())+1)/360,2)))))</f>
        <v/>
      </c>
      <c r="M31" s="19"/>
      <c r="N31" s="11"/>
      <c r="O31" s="18" t="str">
        <f aca="false">IF($G31="","",IF(AND(N31&lt;&gt;"",N31&lt;=Paramètres!$B$8),0,G31-L31-N(M31)))</f>
        <v/>
      </c>
      <c r="P31" s="14"/>
    </row>
    <row r="32" customFormat="false" ht="15" hidden="false" customHeight="false" outlineLevel="0" collapsed="false">
      <c r="A32" s="13" t="n">
        <v>26</v>
      </c>
      <c r="B32" s="14"/>
      <c r="C32" s="14"/>
      <c r="D32" s="14"/>
      <c r="E32" s="14"/>
      <c r="F32" s="11"/>
      <c r="G32" s="19"/>
      <c r="H32" s="14"/>
      <c r="I32" s="17" t="str">
        <f aca="false">IF(D32="","",IF(H32&lt;&gt;"",H32,IFERROR(VLOOKUP(D32,Paramètres!$A$11:$B$23,2,FALSE()),0)))</f>
        <v/>
      </c>
      <c r="J32" s="18" t="str">
        <f aca="false">IF($G32="","",IF(OR($I32=0,$G32="",$F32=""),0,IF(IF(AND($N32&lt;&gt;"",$N32&lt;Paramètres!$B$7),$N32,Paramètres!$B$7-1)&lt;$F32,0,MIN($G32,ROUND($G32/$I32*(DAYS360($F32,IF(AND($N32&lt;&gt;"",$N32&lt;Paramètres!$B$7),$N32,Paramètres!$B$7-1),TRUE())+1)/360,2)))))</f>
        <v/>
      </c>
      <c r="K32" s="18" t="str">
        <f aca="false">IF($G32="","",L32-J32)</f>
        <v/>
      </c>
      <c r="L32" s="18" t="str">
        <f aca="false">IF($G32="","",IF(OR($I32=0,$G32="",$F32=""),0,IF(IF(AND($N32&lt;&gt;"",$N32&lt;Paramètres!$B$8),$N32,Paramètres!$B$8)&lt;$F32,0,MIN($G32,ROUND($G32/$I32*(DAYS360($F32,IF(AND($N32&lt;&gt;"",$N32&lt;Paramètres!$B$8),$N32,Paramètres!$B$8),TRUE())+1)/360,2)))))</f>
        <v/>
      </c>
      <c r="M32" s="19"/>
      <c r="N32" s="11"/>
      <c r="O32" s="18" t="str">
        <f aca="false">IF($G32="","",IF(AND(N32&lt;&gt;"",N32&lt;=Paramètres!$B$8),0,G32-L32-N(M32)))</f>
        <v/>
      </c>
      <c r="P32" s="14"/>
    </row>
    <row r="33" customFormat="false" ht="15" hidden="false" customHeight="false" outlineLevel="0" collapsed="false">
      <c r="A33" s="13" t="n">
        <v>27</v>
      </c>
      <c r="B33" s="14"/>
      <c r="C33" s="14"/>
      <c r="D33" s="14"/>
      <c r="E33" s="14"/>
      <c r="F33" s="11"/>
      <c r="G33" s="19"/>
      <c r="H33" s="14"/>
      <c r="I33" s="17" t="str">
        <f aca="false">IF(D33="","",IF(H33&lt;&gt;"",H33,IFERROR(VLOOKUP(D33,Paramètres!$A$11:$B$23,2,FALSE()),0)))</f>
        <v/>
      </c>
      <c r="J33" s="18" t="str">
        <f aca="false">IF($G33="","",IF(OR($I33=0,$G33="",$F33=""),0,IF(IF(AND($N33&lt;&gt;"",$N33&lt;Paramètres!$B$7),$N33,Paramètres!$B$7-1)&lt;$F33,0,MIN($G33,ROUND($G33/$I33*(DAYS360($F33,IF(AND($N33&lt;&gt;"",$N33&lt;Paramètres!$B$7),$N33,Paramètres!$B$7-1),TRUE())+1)/360,2)))))</f>
        <v/>
      </c>
      <c r="K33" s="18" t="str">
        <f aca="false">IF($G33="","",L33-J33)</f>
        <v/>
      </c>
      <c r="L33" s="18" t="str">
        <f aca="false">IF($G33="","",IF(OR($I33=0,$G33="",$F33=""),0,IF(IF(AND($N33&lt;&gt;"",$N33&lt;Paramètres!$B$8),$N33,Paramètres!$B$8)&lt;$F33,0,MIN($G33,ROUND($G33/$I33*(DAYS360($F33,IF(AND($N33&lt;&gt;"",$N33&lt;Paramètres!$B$8),$N33,Paramètres!$B$8),TRUE())+1)/360,2)))))</f>
        <v/>
      </c>
      <c r="M33" s="19"/>
      <c r="N33" s="11"/>
      <c r="O33" s="18" t="str">
        <f aca="false">IF($G33="","",IF(AND(N33&lt;&gt;"",N33&lt;=Paramètres!$B$8),0,G33-L33-N(M33)))</f>
        <v/>
      </c>
      <c r="P33" s="14"/>
    </row>
    <row r="34" customFormat="false" ht="15" hidden="false" customHeight="false" outlineLevel="0" collapsed="false">
      <c r="A34" s="13" t="n">
        <v>28</v>
      </c>
      <c r="B34" s="14"/>
      <c r="C34" s="14"/>
      <c r="D34" s="14"/>
      <c r="E34" s="14"/>
      <c r="F34" s="11"/>
      <c r="G34" s="19"/>
      <c r="H34" s="14"/>
      <c r="I34" s="17" t="str">
        <f aca="false">IF(D34="","",IF(H34&lt;&gt;"",H34,IFERROR(VLOOKUP(D34,Paramètres!$A$11:$B$23,2,FALSE()),0)))</f>
        <v/>
      </c>
      <c r="J34" s="18" t="str">
        <f aca="false">IF($G34="","",IF(OR($I34=0,$G34="",$F34=""),0,IF(IF(AND($N34&lt;&gt;"",$N34&lt;Paramètres!$B$7),$N34,Paramètres!$B$7-1)&lt;$F34,0,MIN($G34,ROUND($G34/$I34*(DAYS360($F34,IF(AND($N34&lt;&gt;"",$N34&lt;Paramètres!$B$7),$N34,Paramètres!$B$7-1),TRUE())+1)/360,2)))))</f>
        <v/>
      </c>
      <c r="K34" s="18" t="str">
        <f aca="false">IF($G34="","",L34-J34)</f>
        <v/>
      </c>
      <c r="L34" s="18" t="str">
        <f aca="false">IF($G34="","",IF(OR($I34=0,$G34="",$F34=""),0,IF(IF(AND($N34&lt;&gt;"",$N34&lt;Paramètres!$B$8),$N34,Paramètres!$B$8)&lt;$F34,0,MIN($G34,ROUND($G34/$I34*(DAYS360($F34,IF(AND($N34&lt;&gt;"",$N34&lt;Paramètres!$B$8),$N34,Paramètres!$B$8),TRUE())+1)/360,2)))))</f>
        <v/>
      </c>
      <c r="M34" s="19"/>
      <c r="N34" s="11"/>
      <c r="O34" s="18" t="str">
        <f aca="false">IF($G34="","",IF(AND(N34&lt;&gt;"",N34&lt;=Paramètres!$B$8),0,G34-L34-N(M34)))</f>
        <v/>
      </c>
      <c r="P34" s="14"/>
    </row>
    <row r="35" customFormat="false" ht="15" hidden="false" customHeight="false" outlineLevel="0" collapsed="false">
      <c r="A35" s="13" t="n">
        <v>29</v>
      </c>
      <c r="B35" s="14"/>
      <c r="C35" s="14"/>
      <c r="D35" s="14"/>
      <c r="E35" s="14"/>
      <c r="F35" s="11"/>
      <c r="G35" s="19"/>
      <c r="H35" s="14"/>
      <c r="I35" s="17" t="str">
        <f aca="false">IF(D35="","",IF(H35&lt;&gt;"",H35,IFERROR(VLOOKUP(D35,Paramètres!$A$11:$B$23,2,FALSE()),0)))</f>
        <v/>
      </c>
      <c r="J35" s="18" t="str">
        <f aca="false">IF($G35="","",IF(OR($I35=0,$G35="",$F35=""),0,IF(IF(AND($N35&lt;&gt;"",$N35&lt;Paramètres!$B$7),$N35,Paramètres!$B$7-1)&lt;$F35,0,MIN($G35,ROUND($G35/$I35*(DAYS360($F35,IF(AND($N35&lt;&gt;"",$N35&lt;Paramètres!$B$7),$N35,Paramètres!$B$7-1),TRUE())+1)/360,2)))))</f>
        <v/>
      </c>
      <c r="K35" s="18" t="str">
        <f aca="false">IF($G35="","",L35-J35)</f>
        <v/>
      </c>
      <c r="L35" s="18" t="str">
        <f aca="false">IF($G35="","",IF(OR($I35=0,$G35="",$F35=""),0,IF(IF(AND($N35&lt;&gt;"",$N35&lt;Paramètres!$B$8),$N35,Paramètres!$B$8)&lt;$F35,0,MIN($G35,ROUND($G35/$I35*(DAYS360($F35,IF(AND($N35&lt;&gt;"",$N35&lt;Paramètres!$B$8),$N35,Paramètres!$B$8),TRUE())+1)/360,2)))))</f>
        <v/>
      </c>
      <c r="M35" s="19"/>
      <c r="N35" s="11"/>
      <c r="O35" s="18" t="str">
        <f aca="false">IF($G35="","",IF(AND(N35&lt;&gt;"",N35&lt;=Paramètres!$B$8),0,G35-L35-N(M35)))</f>
        <v/>
      </c>
      <c r="P35" s="14"/>
    </row>
    <row r="36" customFormat="false" ht="15" hidden="false" customHeight="false" outlineLevel="0" collapsed="false">
      <c r="A36" s="13" t="n">
        <v>30</v>
      </c>
      <c r="B36" s="14"/>
      <c r="C36" s="14"/>
      <c r="D36" s="14"/>
      <c r="E36" s="14"/>
      <c r="F36" s="11"/>
      <c r="G36" s="19"/>
      <c r="H36" s="14"/>
      <c r="I36" s="17" t="str">
        <f aca="false">IF(D36="","",IF(H36&lt;&gt;"",H36,IFERROR(VLOOKUP(D36,Paramètres!$A$11:$B$23,2,FALSE()),0)))</f>
        <v/>
      </c>
      <c r="J36" s="18" t="str">
        <f aca="false">IF($G36="","",IF(OR($I36=0,$G36="",$F36=""),0,IF(IF(AND($N36&lt;&gt;"",$N36&lt;Paramètres!$B$7),$N36,Paramètres!$B$7-1)&lt;$F36,0,MIN($G36,ROUND($G36/$I36*(DAYS360($F36,IF(AND($N36&lt;&gt;"",$N36&lt;Paramètres!$B$7),$N36,Paramètres!$B$7-1),TRUE())+1)/360,2)))))</f>
        <v/>
      </c>
      <c r="K36" s="18" t="str">
        <f aca="false">IF($G36="","",L36-J36)</f>
        <v/>
      </c>
      <c r="L36" s="18" t="str">
        <f aca="false">IF($G36="","",IF(OR($I36=0,$G36="",$F36=""),0,IF(IF(AND($N36&lt;&gt;"",$N36&lt;Paramètres!$B$8),$N36,Paramètres!$B$8)&lt;$F36,0,MIN($G36,ROUND($G36/$I36*(DAYS360($F36,IF(AND($N36&lt;&gt;"",$N36&lt;Paramètres!$B$8),$N36,Paramètres!$B$8),TRUE())+1)/360,2)))))</f>
        <v/>
      </c>
      <c r="M36" s="19"/>
      <c r="N36" s="11"/>
      <c r="O36" s="18" t="str">
        <f aca="false">IF($G36="","",IF(AND(N36&lt;&gt;"",N36&lt;=Paramètres!$B$8),0,G36-L36-N(M36)))</f>
        <v/>
      </c>
      <c r="P36" s="14"/>
    </row>
    <row r="37" customFormat="false" ht="15" hidden="false" customHeight="false" outlineLevel="0" collapsed="false">
      <c r="A37" s="13" t="n">
        <v>31</v>
      </c>
      <c r="B37" s="14"/>
      <c r="C37" s="14"/>
      <c r="D37" s="14"/>
      <c r="E37" s="14"/>
      <c r="F37" s="11"/>
      <c r="G37" s="19"/>
      <c r="H37" s="14"/>
      <c r="I37" s="17" t="str">
        <f aca="false">IF(D37="","",IF(H37&lt;&gt;"",H37,IFERROR(VLOOKUP(D37,Paramètres!$A$11:$B$23,2,FALSE()),0)))</f>
        <v/>
      </c>
      <c r="J37" s="18" t="str">
        <f aca="false">IF($G37="","",IF(OR($I37=0,$G37="",$F37=""),0,IF(IF(AND($N37&lt;&gt;"",$N37&lt;Paramètres!$B$7),$N37,Paramètres!$B$7-1)&lt;$F37,0,MIN($G37,ROUND($G37/$I37*(DAYS360($F37,IF(AND($N37&lt;&gt;"",$N37&lt;Paramètres!$B$7),$N37,Paramètres!$B$7-1),TRUE())+1)/360,2)))))</f>
        <v/>
      </c>
      <c r="K37" s="18" t="str">
        <f aca="false">IF($G37="","",L37-J37)</f>
        <v/>
      </c>
      <c r="L37" s="18" t="str">
        <f aca="false">IF($G37="","",IF(OR($I37=0,$G37="",$F37=""),0,IF(IF(AND($N37&lt;&gt;"",$N37&lt;Paramètres!$B$8),$N37,Paramètres!$B$8)&lt;$F37,0,MIN($G37,ROUND($G37/$I37*(DAYS360($F37,IF(AND($N37&lt;&gt;"",$N37&lt;Paramètres!$B$8),$N37,Paramètres!$B$8),TRUE())+1)/360,2)))))</f>
        <v/>
      </c>
      <c r="M37" s="19"/>
      <c r="N37" s="11"/>
      <c r="O37" s="18" t="str">
        <f aca="false">IF($G37="","",IF(AND(N37&lt;&gt;"",N37&lt;=Paramètres!$B$8),0,G37-L37-N(M37)))</f>
        <v/>
      </c>
      <c r="P37" s="14"/>
    </row>
    <row r="38" customFormat="false" ht="15" hidden="false" customHeight="false" outlineLevel="0" collapsed="false">
      <c r="A38" s="13" t="n">
        <v>32</v>
      </c>
      <c r="B38" s="14"/>
      <c r="C38" s="14"/>
      <c r="D38" s="14"/>
      <c r="E38" s="14"/>
      <c r="F38" s="11"/>
      <c r="G38" s="19"/>
      <c r="H38" s="14"/>
      <c r="I38" s="17" t="str">
        <f aca="false">IF(D38="","",IF(H38&lt;&gt;"",H38,IFERROR(VLOOKUP(D38,Paramètres!$A$11:$B$23,2,FALSE()),0)))</f>
        <v/>
      </c>
      <c r="J38" s="18" t="str">
        <f aca="false">IF($G38="","",IF(OR($I38=0,$G38="",$F38=""),0,IF(IF(AND($N38&lt;&gt;"",$N38&lt;Paramètres!$B$7),$N38,Paramètres!$B$7-1)&lt;$F38,0,MIN($G38,ROUND($G38/$I38*(DAYS360($F38,IF(AND($N38&lt;&gt;"",$N38&lt;Paramètres!$B$7),$N38,Paramètres!$B$7-1),TRUE())+1)/360,2)))))</f>
        <v/>
      </c>
      <c r="K38" s="18" t="str">
        <f aca="false">IF($G38="","",L38-J38)</f>
        <v/>
      </c>
      <c r="L38" s="18" t="str">
        <f aca="false">IF($G38="","",IF(OR($I38=0,$G38="",$F38=""),0,IF(IF(AND($N38&lt;&gt;"",$N38&lt;Paramètres!$B$8),$N38,Paramètres!$B$8)&lt;$F38,0,MIN($G38,ROUND($G38/$I38*(DAYS360($F38,IF(AND($N38&lt;&gt;"",$N38&lt;Paramètres!$B$8),$N38,Paramètres!$B$8),TRUE())+1)/360,2)))))</f>
        <v/>
      </c>
      <c r="M38" s="19"/>
      <c r="N38" s="11"/>
      <c r="O38" s="18" t="str">
        <f aca="false">IF($G38="","",IF(AND(N38&lt;&gt;"",N38&lt;=Paramètres!$B$8),0,G38-L38-N(M38)))</f>
        <v/>
      </c>
      <c r="P38" s="14"/>
    </row>
    <row r="39" customFormat="false" ht="15" hidden="false" customHeight="false" outlineLevel="0" collapsed="false">
      <c r="A39" s="13" t="n">
        <v>33</v>
      </c>
      <c r="B39" s="14"/>
      <c r="C39" s="14"/>
      <c r="D39" s="14"/>
      <c r="E39" s="14"/>
      <c r="F39" s="11"/>
      <c r="G39" s="19"/>
      <c r="H39" s="14"/>
      <c r="I39" s="17" t="str">
        <f aca="false">IF(D39="","",IF(H39&lt;&gt;"",H39,IFERROR(VLOOKUP(D39,Paramètres!$A$11:$B$23,2,FALSE()),0)))</f>
        <v/>
      </c>
      <c r="J39" s="18" t="str">
        <f aca="false">IF($G39="","",IF(OR($I39=0,$G39="",$F39=""),0,IF(IF(AND($N39&lt;&gt;"",$N39&lt;Paramètres!$B$7),$N39,Paramètres!$B$7-1)&lt;$F39,0,MIN($G39,ROUND($G39/$I39*(DAYS360($F39,IF(AND($N39&lt;&gt;"",$N39&lt;Paramètres!$B$7),$N39,Paramètres!$B$7-1),TRUE())+1)/360,2)))))</f>
        <v/>
      </c>
      <c r="K39" s="18" t="str">
        <f aca="false">IF($G39="","",L39-J39)</f>
        <v/>
      </c>
      <c r="L39" s="18" t="str">
        <f aca="false">IF($G39="","",IF(OR($I39=0,$G39="",$F39=""),0,IF(IF(AND($N39&lt;&gt;"",$N39&lt;Paramètres!$B$8),$N39,Paramètres!$B$8)&lt;$F39,0,MIN($G39,ROUND($G39/$I39*(DAYS360($F39,IF(AND($N39&lt;&gt;"",$N39&lt;Paramètres!$B$8),$N39,Paramètres!$B$8),TRUE())+1)/360,2)))))</f>
        <v/>
      </c>
      <c r="M39" s="19"/>
      <c r="N39" s="11"/>
      <c r="O39" s="18" t="str">
        <f aca="false">IF($G39="","",IF(AND(N39&lt;&gt;"",N39&lt;=Paramètres!$B$8),0,G39-L39-N(M39)))</f>
        <v/>
      </c>
      <c r="P39" s="14"/>
    </row>
    <row r="40" customFormat="false" ht="15" hidden="false" customHeight="false" outlineLevel="0" collapsed="false">
      <c r="A40" s="13" t="n">
        <v>34</v>
      </c>
      <c r="B40" s="14"/>
      <c r="C40" s="14"/>
      <c r="D40" s="14"/>
      <c r="E40" s="14"/>
      <c r="F40" s="11"/>
      <c r="G40" s="19"/>
      <c r="H40" s="14"/>
      <c r="I40" s="17" t="str">
        <f aca="false">IF(D40="","",IF(H40&lt;&gt;"",H40,IFERROR(VLOOKUP(D40,Paramètres!$A$11:$B$23,2,FALSE()),0)))</f>
        <v/>
      </c>
      <c r="J40" s="18" t="str">
        <f aca="false">IF($G40="","",IF(OR($I40=0,$G40="",$F40=""),0,IF(IF(AND($N40&lt;&gt;"",$N40&lt;Paramètres!$B$7),$N40,Paramètres!$B$7-1)&lt;$F40,0,MIN($G40,ROUND($G40/$I40*(DAYS360($F40,IF(AND($N40&lt;&gt;"",$N40&lt;Paramètres!$B$7),$N40,Paramètres!$B$7-1),TRUE())+1)/360,2)))))</f>
        <v/>
      </c>
      <c r="K40" s="18" t="str">
        <f aca="false">IF($G40="","",L40-J40)</f>
        <v/>
      </c>
      <c r="L40" s="18" t="str">
        <f aca="false">IF($G40="","",IF(OR($I40=0,$G40="",$F40=""),0,IF(IF(AND($N40&lt;&gt;"",$N40&lt;Paramètres!$B$8),$N40,Paramètres!$B$8)&lt;$F40,0,MIN($G40,ROUND($G40/$I40*(DAYS360($F40,IF(AND($N40&lt;&gt;"",$N40&lt;Paramètres!$B$8),$N40,Paramètres!$B$8),TRUE())+1)/360,2)))))</f>
        <v/>
      </c>
      <c r="M40" s="19"/>
      <c r="N40" s="11"/>
      <c r="O40" s="18" t="str">
        <f aca="false">IF($G40="","",IF(AND(N40&lt;&gt;"",N40&lt;=Paramètres!$B$8),0,G40-L40-N(M40)))</f>
        <v/>
      </c>
      <c r="P40" s="14"/>
    </row>
    <row r="41" customFormat="false" ht="15" hidden="false" customHeight="false" outlineLevel="0" collapsed="false">
      <c r="A41" s="13" t="n">
        <v>35</v>
      </c>
      <c r="B41" s="14"/>
      <c r="C41" s="14"/>
      <c r="D41" s="14"/>
      <c r="E41" s="14"/>
      <c r="F41" s="11"/>
      <c r="G41" s="19"/>
      <c r="H41" s="14"/>
      <c r="I41" s="17" t="str">
        <f aca="false">IF(D41="","",IF(H41&lt;&gt;"",H41,IFERROR(VLOOKUP(D41,Paramètres!$A$11:$B$23,2,FALSE()),0)))</f>
        <v/>
      </c>
      <c r="J41" s="18" t="str">
        <f aca="false">IF($G41="","",IF(OR($I41=0,$G41="",$F41=""),0,IF(IF(AND($N41&lt;&gt;"",$N41&lt;Paramètres!$B$7),$N41,Paramètres!$B$7-1)&lt;$F41,0,MIN($G41,ROUND($G41/$I41*(DAYS360($F41,IF(AND($N41&lt;&gt;"",$N41&lt;Paramètres!$B$7),$N41,Paramètres!$B$7-1),TRUE())+1)/360,2)))))</f>
        <v/>
      </c>
      <c r="K41" s="18" t="str">
        <f aca="false">IF($G41="","",L41-J41)</f>
        <v/>
      </c>
      <c r="L41" s="18" t="str">
        <f aca="false">IF($G41="","",IF(OR($I41=0,$G41="",$F41=""),0,IF(IF(AND($N41&lt;&gt;"",$N41&lt;Paramètres!$B$8),$N41,Paramètres!$B$8)&lt;$F41,0,MIN($G41,ROUND($G41/$I41*(DAYS360($F41,IF(AND($N41&lt;&gt;"",$N41&lt;Paramètres!$B$8),$N41,Paramètres!$B$8),TRUE())+1)/360,2)))))</f>
        <v/>
      </c>
      <c r="M41" s="19"/>
      <c r="N41" s="11"/>
      <c r="O41" s="18" t="str">
        <f aca="false">IF($G41="","",IF(AND(N41&lt;&gt;"",N41&lt;=Paramètres!$B$8),0,G41-L41-N(M41)))</f>
        <v/>
      </c>
      <c r="P41" s="14"/>
    </row>
    <row r="42" customFormat="false" ht="15" hidden="false" customHeight="false" outlineLevel="0" collapsed="false">
      <c r="A42" s="13" t="n">
        <v>36</v>
      </c>
      <c r="B42" s="14"/>
      <c r="C42" s="14"/>
      <c r="D42" s="14"/>
      <c r="E42" s="14"/>
      <c r="F42" s="11"/>
      <c r="G42" s="19"/>
      <c r="H42" s="14"/>
      <c r="I42" s="17" t="str">
        <f aca="false">IF(D42="","",IF(H42&lt;&gt;"",H42,IFERROR(VLOOKUP(D42,Paramètres!$A$11:$B$23,2,FALSE()),0)))</f>
        <v/>
      </c>
      <c r="J42" s="18" t="str">
        <f aca="false">IF($G42="","",IF(OR($I42=0,$G42="",$F42=""),0,IF(IF(AND($N42&lt;&gt;"",$N42&lt;Paramètres!$B$7),$N42,Paramètres!$B$7-1)&lt;$F42,0,MIN($G42,ROUND($G42/$I42*(DAYS360($F42,IF(AND($N42&lt;&gt;"",$N42&lt;Paramètres!$B$7),$N42,Paramètres!$B$7-1),TRUE())+1)/360,2)))))</f>
        <v/>
      </c>
      <c r="K42" s="18" t="str">
        <f aca="false">IF($G42="","",L42-J42)</f>
        <v/>
      </c>
      <c r="L42" s="18" t="str">
        <f aca="false">IF($G42="","",IF(OR($I42=0,$G42="",$F42=""),0,IF(IF(AND($N42&lt;&gt;"",$N42&lt;Paramètres!$B$8),$N42,Paramètres!$B$8)&lt;$F42,0,MIN($G42,ROUND($G42/$I42*(DAYS360($F42,IF(AND($N42&lt;&gt;"",$N42&lt;Paramètres!$B$8),$N42,Paramètres!$B$8),TRUE())+1)/360,2)))))</f>
        <v/>
      </c>
      <c r="M42" s="19"/>
      <c r="N42" s="11"/>
      <c r="O42" s="18" t="str">
        <f aca="false">IF($G42="","",IF(AND(N42&lt;&gt;"",N42&lt;=Paramètres!$B$8),0,G42-L42-N(M42)))</f>
        <v/>
      </c>
      <c r="P42" s="14"/>
    </row>
    <row r="43" customFormat="false" ht="15" hidden="false" customHeight="false" outlineLevel="0" collapsed="false">
      <c r="A43" s="13" t="n">
        <v>37</v>
      </c>
      <c r="B43" s="14"/>
      <c r="C43" s="14"/>
      <c r="D43" s="14"/>
      <c r="E43" s="14"/>
      <c r="F43" s="11"/>
      <c r="G43" s="19"/>
      <c r="H43" s="14"/>
      <c r="I43" s="17" t="str">
        <f aca="false">IF(D43="","",IF(H43&lt;&gt;"",H43,IFERROR(VLOOKUP(D43,Paramètres!$A$11:$B$23,2,FALSE()),0)))</f>
        <v/>
      </c>
      <c r="J43" s="18" t="str">
        <f aca="false">IF($G43="","",IF(OR($I43=0,$G43="",$F43=""),0,IF(IF(AND($N43&lt;&gt;"",$N43&lt;Paramètres!$B$7),$N43,Paramètres!$B$7-1)&lt;$F43,0,MIN($G43,ROUND($G43/$I43*(DAYS360($F43,IF(AND($N43&lt;&gt;"",$N43&lt;Paramètres!$B$7),$N43,Paramètres!$B$7-1),TRUE())+1)/360,2)))))</f>
        <v/>
      </c>
      <c r="K43" s="18" t="str">
        <f aca="false">IF($G43="","",L43-J43)</f>
        <v/>
      </c>
      <c r="L43" s="18" t="str">
        <f aca="false">IF($G43="","",IF(OR($I43=0,$G43="",$F43=""),0,IF(IF(AND($N43&lt;&gt;"",$N43&lt;Paramètres!$B$8),$N43,Paramètres!$B$8)&lt;$F43,0,MIN($G43,ROUND($G43/$I43*(DAYS360($F43,IF(AND($N43&lt;&gt;"",$N43&lt;Paramètres!$B$8),$N43,Paramètres!$B$8),TRUE())+1)/360,2)))))</f>
        <v/>
      </c>
      <c r="M43" s="19"/>
      <c r="N43" s="11"/>
      <c r="O43" s="18" t="str">
        <f aca="false">IF($G43="","",IF(AND(N43&lt;&gt;"",N43&lt;=Paramètres!$B$8),0,G43-L43-N(M43)))</f>
        <v/>
      </c>
      <c r="P43" s="14"/>
    </row>
    <row r="44" customFormat="false" ht="15" hidden="false" customHeight="false" outlineLevel="0" collapsed="false">
      <c r="A44" s="13" t="n">
        <v>38</v>
      </c>
      <c r="B44" s="14"/>
      <c r="C44" s="14"/>
      <c r="D44" s="14"/>
      <c r="E44" s="14"/>
      <c r="F44" s="11"/>
      <c r="G44" s="19"/>
      <c r="H44" s="14"/>
      <c r="I44" s="17" t="str">
        <f aca="false">IF(D44="","",IF(H44&lt;&gt;"",H44,IFERROR(VLOOKUP(D44,Paramètres!$A$11:$B$23,2,FALSE()),0)))</f>
        <v/>
      </c>
      <c r="J44" s="18" t="str">
        <f aca="false">IF($G44="","",IF(OR($I44=0,$G44="",$F44=""),0,IF(IF(AND($N44&lt;&gt;"",$N44&lt;Paramètres!$B$7),$N44,Paramètres!$B$7-1)&lt;$F44,0,MIN($G44,ROUND($G44/$I44*(DAYS360($F44,IF(AND($N44&lt;&gt;"",$N44&lt;Paramètres!$B$7),$N44,Paramètres!$B$7-1),TRUE())+1)/360,2)))))</f>
        <v/>
      </c>
      <c r="K44" s="18" t="str">
        <f aca="false">IF($G44="","",L44-J44)</f>
        <v/>
      </c>
      <c r="L44" s="18" t="str">
        <f aca="false">IF($G44="","",IF(OR($I44=0,$G44="",$F44=""),0,IF(IF(AND($N44&lt;&gt;"",$N44&lt;Paramètres!$B$8),$N44,Paramètres!$B$8)&lt;$F44,0,MIN($G44,ROUND($G44/$I44*(DAYS360($F44,IF(AND($N44&lt;&gt;"",$N44&lt;Paramètres!$B$8),$N44,Paramètres!$B$8),TRUE())+1)/360,2)))))</f>
        <v/>
      </c>
      <c r="M44" s="19"/>
      <c r="N44" s="11"/>
      <c r="O44" s="18" t="str">
        <f aca="false">IF($G44="","",IF(AND(N44&lt;&gt;"",N44&lt;=Paramètres!$B$8),0,G44-L44-N(M44)))</f>
        <v/>
      </c>
      <c r="P44" s="14"/>
    </row>
    <row r="45" customFormat="false" ht="15" hidden="false" customHeight="false" outlineLevel="0" collapsed="false">
      <c r="A45" s="13" t="n">
        <v>39</v>
      </c>
      <c r="B45" s="14"/>
      <c r="C45" s="14"/>
      <c r="D45" s="14"/>
      <c r="E45" s="14"/>
      <c r="F45" s="11"/>
      <c r="G45" s="19"/>
      <c r="H45" s="14"/>
      <c r="I45" s="17" t="str">
        <f aca="false">IF(D45="","",IF(H45&lt;&gt;"",H45,IFERROR(VLOOKUP(D45,Paramètres!$A$11:$B$23,2,FALSE()),0)))</f>
        <v/>
      </c>
      <c r="J45" s="18" t="str">
        <f aca="false">IF($G45="","",IF(OR($I45=0,$G45="",$F45=""),0,IF(IF(AND($N45&lt;&gt;"",$N45&lt;Paramètres!$B$7),$N45,Paramètres!$B$7-1)&lt;$F45,0,MIN($G45,ROUND($G45/$I45*(DAYS360($F45,IF(AND($N45&lt;&gt;"",$N45&lt;Paramètres!$B$7),$N45,Paramètres!$B$7-1),TRUE())+1)/360,2)))))</f>
        <v/>
      </c>
      <c r="K45" s="18" t="str">
        <f aca="false">IF($G45="","",L45-J45)</f>
        <v/>
      </c>
      <c r="L45" s="18" t="str">
        <f aca="false">IF($G45="","",IF(OR($I45=0,$G45="",$F45=""),0,IF(IF(AND($N45&lt;&gt;"",$N45&lt;Paramètres!$B$8),$N45,Paramètres!$B$8)&lt;$F45,0,MIN($G45,ROUND($G45/$I45*(DAYS360($F45,IF(AND($N45&lt;&gt;"",$N45&lt;Paramètres!$B$8),$N45,Paramètres!$B$8),TRUE())+1)/360,2)))))</f>
        <v/>
      </c>
      <c r="M45" s="19"/>
      <c r="N45" s="11"/>
      <c r="O45" s="18" t="str">
        <f aca="false">IF($G45="","",IF(AND(N45&lt;&gt;"",N45&lt;=Paramètres!$B$8),0,G45-L45-N(M45)))</f>
        <v/>
      </c>
      <c r="P45" s="14"/>
    </row>
    <row r="46" customFormat="false" ht="15" hidden="false" customHeight="false" outlineLevel="0" collapsed="false">
      <c r="A46" s="13" t="n">
        <v>40</v>
      </c>
      <c r="B46" s="14"/>
      <c r="C46" s="14"/>
      <c r="D46" s="14"/>
      <c r="E46" s="14"/>
      <c r="F46" s="11"/>
      <c r="G46" s="19"/>
      <c r="H46" s="14"/>
      <c r="I46" s="17" t="str">
        <f aca="false">IF(D46="","",IF(H46&lt;&gt;"",H46,IFERROR(VLOOKUP(D46,Paramètres!$A$11:$B$23,2,FALSE()),0)))</f>
        <v/>
      </c>
      <c r="J46" s="18" t="str">
        <f aca="false">IF($G46="","",IF(OR($I46=0,$G46="",$F46=""),0,IF(IF(AND($N46&lt;&gt;"",$N46&lt;Paramètres!$B$7),$N46,Paramètres!$B$7-1)&lt;$F46,0,MIN($G46,ROUND($G46/$I46*(DAYS360($F46,IF(AND($N46&lt;&gt;"",$N46&lt;Paramètres!$B$7),$N46,Paramètres!$B$7-1),TRUE())+1)/360,2)))))</f>
        <v/>
      </c>
      <c r="K46" s="18" t="str">
        <f aca="false">IF($G46="","",L46-J46)</f>
        <v/>
      </c>
      <c r="L46" s="18" t="str">
        <f aca="false">IF($G46="","",IF(OR($I46=0,$G46="",$F46=""),0,IF(IF(AND($N46&lt;&gt;"",$N46&lt;Paramètres!$B$8),$N46,Paramètres!$B$8)&lt;$F46,0,MIN($G46,ROUND($G46/$I46*(DAYS360($F46,IF(AND($N46&lt;&gt;"",$N46&lt;Paramètres!$B$8),$N46,Paramètres!$B$8),TRUE())+1)/360,2)))))</f>
        <v/>
      </c>
      <c r="M46" s="19"/>
      <c r="N46" s="11"/>
      <c r="O46" s="18" t="str">
        <f aca="false">IF($G46="","",IF(AND(N46&lt;&gt;"",N46&lt;=Paramètres!$B$8),0,G46-L46-N(M46)))</f>
        <v/>
      </c>
      <c r="P46" s="14"/>
    </row>
    <row r="47" customFormat="false" ht="15" hidden="false" customHeight="false" outlineLevel="0" collapsed="false">
      <c r="B47" s="20" t="s">
        <v>113</v>
      </c>
      <c r="G47" s="21" t="n">
        <f aca="false">SUM(G7:G46)</f>
        <v>652000</v>
      </c>
      <c r="J47" s="21" t="n">
        <f aca="false">SUM(J7:J46)</f>
        <v>9220</v>
      </c>
      <c r="K47" s="21" t="n">
        <f aca="false">SUM(K7:K46)</f>
        <v>16690</v>
      </c>
      <c r="L47" s="21" t="n">
        <f aca="false">SUM(L7:L46)</f>
        <v>25910</v>
      </c>
      <c r="M47" s="21" t="n">
        <f aca="false">SUM(M7:M46)</f>
        <v>0</v>
      </c>
      <c r="O47" s="21" t="n">
        <f aca="false">SUM(O7:O46)</f>
        <v>626090</v>
      </c>
    </row>
    <row r="49" customFormat="false" ht="15" hidden="false" customHeight="false" outlineLevel="0" collapsed="false">
      <c r="B49" s="4" t="s">
        <v>114</v>
      </c>
    </row>
    <row r="51" customFormat="false" ht="15" hidden="false" customHeight="false" outlineLevel="0" collapsed="false">
      <c r="A51" s="7" t="s">
        <v>26</v>
      </c>
    </row>
    <row r="52" customFormat="false" ht="15" hidden="false" customHeight="false" outlineLevel="0" collapsed="false">
      <c r="A52" s="8" t="s">
        <v>27</v>
      </c>
    </row>
  </sheetData>
  <conditionalFormatting sqref="I7:I46">
    <cfRule type="expression" priority="2" aboveAverage="0" equalAverage="0" bottom="0" percent="0" rank="0" text="" dxfId="0">
      <formula>AND($D7&lt;&gt;"",$I7=0)</formula>
    </cfRule>
  </conditionalFormatting>
  <conditionalFormatting sqref="O7:O46">
    <cfRule type="expression" priority="3" aboveAverage="0" equalAverage="0" bottom="0" percent="0" rank="0" text="" dxfId="1">
      <formula>AND($N7&lt;&gt;"",$N7&lt;=Paramètres!$B$8)</formula>
    </cfRule>
  </conditionalFormatting>
  <dataValidations count="2">
    <dataValidation allowBlank="true" errorStyle="stop" operator="between" showDropDown="false" showErrorMessage="false" showInputMessage="false" sqref="D7:D46" type="list">
      <formula1>Paramètres!$A$11:$A$23</formula1>
      <formula2>0</formula2>
    </dataValidation>
    <dataValidation allowBlank="true" errorStyle="stop" operator="between" showDropDown="false" showErrorMessage="false" showInputMessage="false" sqref="E7:E46" type="list">
      <formula1>"Achat,Construction,Travaux,Legs ou donation,Apport,Autre"</formula1>
      <formula2>0</formula2>
    </dataValidation>
  </dataValidation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E06 — monassocultuelle.com</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3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0"/>
    <col collapsed="false" customWidth="true" hidden="false" outlineLevel="0" max="5" min="2" style="0" width="18"/>
  </cols>
  <sheetData>
    <row r="1" customFormat="false" ht="15" hidden="false" customHeight="false" outlineLevel="0" collapsed="false">
      <c r="A1" s="1" t="s">
        <v>0</v>
      </c>
    </row>
    <row r="2" customFormat="false" ht="19.7" hidden="false" customHeight="false" outlineLevel="0" collapsed="false">
      <c r="A2" s="2" t="s">
        <v>115</v>
      </c>
    </row>
    <row r="3" customFormat="false" ht="15" hidden="false" customHeight="false" outlineLevel="0" collapsed="false">
      <c r="A3" s="3" t="s">
        <v>116</v>
      </c>
    </row>
    <row r="4" customFormat="false" ht="15" hidden="false" customHeight="false" outlineLevel="0" collapsed="false">
      <c r="A4" s="4" t="s">
        <v>3</v>
      </c>
    </row>
    <row r="5" customFormat="false" ht="15" hidden="false" customHeight="false" outlineLevel="0" collapsed="false">
      <c r="A5" s="20" t="s">
        <v>117</v>
      </c>
      <c r="B5" s="22" t="n">
        <f aca="false">Paramètres!B7</f>
        <v>46753</v>
      </c>
      <c r="C5" s="22" t="n">
        <f aca="false">Paramètres!B8</f>
        <v>47118</v>
      </c>
    </row>
    <row r="6" customFormat="false" ht="30" hidden="false" customHeight="true" outlineLevel="0" collapsed="false">
      <c r="A6" s="12" t="s">
        <v>34</v>
      </c>
      <c r="B6" s="12" t="s">
        <v>88</v>
      </c>
      <c r="C6" s="12" t="s">
        <v>92</v>
      </c>
      <c r="D6" s="12" t="s">
        <v>93</v>
      </c>
      <c r="E6" s="12" t="s">
        <v>96</v>
      </c>
    </row>
    <row r="7" customFormat="false" ht="15" hidden="false" customHeight="false" outlineLevel="0" collapsed="false">
      <c r="A7" s="13" t="str">
        <f aca="false">Paramètres!A11</f>
        <v>Terrain</v>
      </c>
      <c r="B7" s="23" t="n">
        <f aca="false">SUMIF(Registre!$D$7:$D$46,$A7,Registre!$G$7:$G$46)</f>
        <v>86000</v>
      </c>
      <c r="C7" s="23" t="n">
        <f aca="false">SUMIF(Registre!$D$7:$D$46,$A7,Registre!$K$7:$K$46)</f>
        <v>0</v>
      </c>
      <c r="D7" s="23" t="n">
        <f aca="false">SUMIF(Registre!$D$7:$D$46,$A7,Registre!$L$7:$L$46)</f>
        <v>0</v>
      </c>
      <c r="E7" s="23" t="n">
        <f aca="false">SUMIF(Registre!$D$7:$D$46,$A7,Registre!$O$7:$O$46)</f>
        <v>86000</v>
      </c>
    </row>
    <row r="8" customFormat="false" ht="15" hidden="false" customHeight="false" outlineLevel="0" collapsed="false">
      <c r="A8" s="13" t="str">
        <f aca="false">Paramètres!A12</f>
        <v>Gros œuvre / structure</v>
      </c>
      <c r="B8" s="23" t="n">
        <f aca="false">SUMIF(Registre!$D$7:$D$46,$A8,Registre!$G$7:$G$46)</f>
        <v>215000</v>
      </c>
      <c r="C8" s="23" t="n">
        <f aca="false">SUMIF(Registre!$D$7:$D$46,$A8,Registre!$K$7:$K$46)</f>
        <v>4300</v>
      </c>
      <c r="D8" s="23" t="n">
        <f aca="false">SUMIF(Registre!$D$7:$D$46,$A8,Registre!$L$7:$L$46)</f>
        <v>6450</v>
      </c>
      <c r="E8" s="23" t="n">
        <f aca="false">SUMIF(Registre!$D$7:$D$46,$A8,Registre!$O$7:$O$46)</f>
        <v>208550</v>
      </c>
    </row>
    <row r="9" customFormat="false" ht="15" hidden="false" customHeight="false" outlineLevel="0" collapsed="false">
      <c r="A9" s="13" t="str">
        <f aca="false">Paramètres!A13</f>
        <v>Toiture / couverture</v>
      </c>
      <c r="B9" s="23" t="n">
        <f aca="false">SUMIF(Registre!$D$7:$D$46,$A9,Registre!$G$7:$G$46)</f>
        <v>43000</v>
      </c>
      <c r="C9" s="23" t="n">
        <f aca="false">SUMIF(Registre!$D$7:$D$46,$A9,Registre!$K$7:$K$46)</f>
        <v>1720</v>
      </c>
      <c r="D9" s="23" t="n">
        <f aca="false">SUMIF(Registre!$D$7:$D$46,$A9,Registre!$L$7:$L$46)</f>
        <v>2580</v>
      </c>
      <c r="E9" s="23" t="n">
        <f aca="false">SUMIF(Registre!$D$7:$D$46,$A9,Registre!$O$7:$O$46)</f>
        <v>40420</v>
      </c>
    </row>
    <row r="10" customFormat="false" ht="15" hidden="false" customHeight="false" outlineLevel="0" collapsed="false">
      <c r="A10" s="13" t="str">
        <f aca="false">Paramètres!A14</f>
        <v>Façades, menuiseries extérieures, étanchéité</v>
      </c>
      <c r="B10" s="23" t="n">
        <f aca="false">SUMIF(Registre!$D$7:$D$46,$A10,Registre!$G$7:$G$46)</f>
        <v>0</v>
      </c>
      <c r="C10" s="23" t="n">
        <f aca="false">SUMIF(Registre!$D$7:$D$46,$A10,Registre!$K$7:$K$46)</f>
        <v>0</v>
      </c>
      <c r="D10" s="23" t="n">
        <f aca="false">SUMIF(Registre!$D$7:$D$46,$A10,Registre!$L$7:$L$46)</f>
        <v>0</v>
      </c>
      <c r="E10" s="23" t="n">
        <f aca="false">SUMIF(Registre!$D$7:$D$46,$A10,Registre!$O$7:$O$46)</f>
        <v>0</v>
      </c>
    </row>
    <row r="11" customFormat="false" ht="15" hidden="false" customHeight="false" outlineLevel="0" collapsed="false">
      <c r="A11" s="13" t="str">
        <f aca="false">Paramètres!A15</f>
        <v>Installations techniques</v>
      </c>
      <c r="B11" s="23" t="n">
        <f aca="false">SUMIF(Registre!$D$7:$D$46,$A11,Registre!$G$7:$G$46)</f>
        <v>51600</v>
      </c>
      <c r="C11" s="23" t="n">
        <f aca="false">SUMIF(Registre!$D$7:$D$46,$A11,Registre!$K$7:$K$46)</f>
        <v>2580</v>
      </c>
      <c r="D11" s="23" t="n">
        <f aca="false">SUMIF(Registre!$D$7:$D$46,$A11,Registre!$L$7:$L$46)</f>
        <v>3870</v>
      </c>
      <c r="E11" s="23" t="n">
        <f aca="false">SUMIF(Registre!$D$7:$D$46,$A11,Registre!$O$7:$O$46)</f>
        <v>47730</v>
      </c>
    </row>
    <row r="12" customFormat="false" ht="15" hidden="false" customHeight="false" outlineLevel="0" collapsed="false">
      <c r="A12" s="13" t="str">
        <f aca="false">Paramètres!A16</f>
        <v>Agencements intérieurs</v>
      </c>
      <c r="B12" s="23" t="n">
        <f aca="false">SUMIF(Registre!$D$7:$D$46,$A12,Registre!$G$7:$G$46)</f>
        <v>34400</v>
      </c>
      <c r="C12" s="23" t="n">
        <f aca="false">SUMIF(Registre!$D$7:$D$46,$A12,Registre!$K$7:$K$46)</f>
        <v>3440</v>
      </c>
      <c r="D12" s="23" t="n">
        <f aca="false">SUMIF(Registre!$D$7:$D$46,$A12,Registre!$L$7:$L$46)</f>
        <v>5160</v>
      </c>
      <c r="E12" s="23" t="n">
        <f aca="false">SUMIF(Registre!$D$7:$D$46,$A12,Registre!$O$7:$O$46)</f>
        <v>29240</v>
      </c>
    </row>
    <row r="13" customFormat="false" ht="15" hidden="false" customHeight="false" outlineLevel="0" collapsed="false">
      <c r="A13" s="13" t="str">
        <f aca="false">Paramètres!A17</f>
        <v>Travaux d’accessibilité</v>
      </c>
      <c r="B13" s="23" t="n">
        <f aca="false">SUMIF(Registre!$D$7:$D$46,$A13,Registre!$G$7:$G$46)</f>
        <v>60000</v>
      </c>
      <c r="C13" s="23" t="n">
        <f aca="false">SUMIF(Registre!$D$7:$D$46,$A13,Registre!$K$7:$K$46)</f>
        <v>2250</v>
      </c>
      <c r="D13" s="23" t="n">
        <f aca="false">SUMIF(Registre!$D$7:$D$46,$A13,Registre!$L$7:$L$46)</f>
        <v>2250</v>
      </c>
      <c r="E13" s="23" t="n">
        <f aca="false">SUMIF(Registre!$D$7:$D$46,$A13,Registre!$O$7:$O$46)</f>
        <v>57750</v>
      </c>
    </row>
    <row r="14" customFormat="false" ht="15" hidden="false" customHeight="false" outlineLevel="0" collapsed="false">
      <c r="A14" s="13" t="str">
        <f aca="false">Paramètres!A18</f>
        <v>Sécurité, sûreté</v>
      </c>
      <c r="B14" s="23" t="n">
        <f aca="false">SUMIF(Registre!$D$7:$D$46,$A14,Registre!$G$7:$G$46)</f>
        <v>0</v>
      </c>
      <c r="C14" s="23" t="n">
        <f aca="false">SUMIF(Registre!$D$7:$D$46,$A14,Registre!$K$7:$K$46)</f>
        <v>0</v>
      </c>
      <c r="D14" s="23" t="n">
        <f aca="false">SUMIF(Registre!$D$7:$D$46,$A14,Registre!$L$7:$L$46)</f>
        <v>0</v>
      </c>
      <c r="E14" s="23" t="n">
        <f aca="false">SUMIF(Registre!$D$7:$D$46,$A14,Registre!$O$7:$O$46)</f>
        <v>0</v>
      </c>
    </row>
    <row r="15" customFormat="false" ht="15" hidden="false" customHeight="false" outlineLevel="0" collapsed="false">
      <c r="A15" s="13" t="str">
        <f aca="false">Paramètres!A19</f>
        <v>Sonorisation, vidéo, informatique</v>
      </c>
      <c r="B15" s="23" t="n">
        <f aca="false">SUMIF(Registre!$D$7:$D$46,$A15,Registre!$G$7:$G$46)</f>
        <v>12000</v>
      </c>
      <c r="C15" s="23" t="n">
        <f aca="false">SUMIF(Registre!$D$7:$D$46,$A15,Registre!$K$7:$K$46)</f>
        <v>2400</v>
      </c>
      <c r="D15" s="23" t="n">
        <f aca="false">SUMIF(Registre!$D$7:$D$46,$A15,Registre!$L$7:$L$46)</f>
        <v>5600</v>
      </c>
      <c r="E15" s="23" t="n">
        <f aca="false">SUMIF(Registre!$D$7:$D$46,$A15,Registre!$O$7:$O$46)</f>
        <v>6400</v>
      </c>
    </row>
    <row r="16" customFormat="false" ht="15" hidden="false" customHeight="false" outlineLevel="0" collapsed="false">
      <c r="A16" s="13" t="str">
        <f aca="false">Paramètres!A20</f>
        <v>Mobilier</v>
      </c>
      <c r="B16" s="23" t="n">
        <f aca="false">SUMIF(Registre!$D$7:$D$46,$A16,Registre!$G$7:$G$46)</f>
        <v>0</v>
      </c>
      <c r="C16" s="23" t="n">
        <f aca="false">SUMIF(Registre!$D$7:$D$46,$A16,Registre!$K$7:$K$46)</f>
        <v>0</v>
      </c>
      <c r="D16" s="23" t="n">
        <f aca="false">SUMIF(Registre!$D$7:$D$46,$A16,Registre!$L$7:$L$46)</f>
        <v>0</v>
      </c>
      <c r="E16" s="23" t="n">
        <f aca="false">SUMIF(Registre!$D$7:$D$46,$A16,Registre!$O$7:$O$46)</f>
        <v>0</v>
      </c>
    </row>
    <row r="17" customFormat="false" ht="15" hidden="false" customHeight="false" outlineLevel="0" collapsed="false">
      <c r="A17" s="13" t="str">
        <f aca="false">Paramètres!A21</f>
        <v>Véhicule</v>
      </c>
      <c r="B17" s="23" t="n">
        <f aca="false">SUMIF(Registre!$D$7:$D$46,$A17,Registre!$G$7:$G$46)</f>
        <v>0</v>
      </c>
      <c r="C17" s="23" t="n">
        <f aca="false">SUMIF(Registre!$D$7:$D$46,$A17,Registre!$K$7:$K$46)</f>
        <v>0</v>
      </c>
      <c r="D17" s="23" t="n">
        <f aca="false">SUMIF(Registre!$D$7:$D$46,$A17,Registre!$L$7:$L$46)</f>
        <v>0</v>
      </c>
      <c r="E17" s="23" t="n">
        <f aca="false">SUMIF(Registre!$D$7:$D$46,$A17,Registre!$O$7:$O$46)</f>
        <v>0</v>
      </c>
    </row>
    <row r="18" customFormat="false" ht="15" hidden="false" customHeight="false" outlineLevel="0" collapsed="false">
      <c r="A18" s="13" t="str">
        <f aca="false">Paramètres!A22</f>
        <v>Bien reçu par legs ou donation destiné à être cédé</v>
      </c>
      <c r="B18" s="23" t="n">
        <f aca="false">SUMIF(Registre!$D$7:$D$46,$A18,Registre!$G$7:$G$46)</f>
        <v>150000</v>
      </c>
      <c r="C18" s="23" t="n">
        <f aca="false">SUMIF(Registre!$D$7:$D$46,$A18,Registre!$K$7:$K$46)</f>
        <v>0</v>
      </c>
      <c r="D18" s="23" t="n">
        <f aca="false">SUMIF(Registre!$D$7:$D$46,$A18,Registre!$L$7:$L$46)</f>
        <v>0</v>
      </c>
      <c r="E18" s="23" t="n">
        <f aca="false">SUMIF(Registre!$D$7:$D$46,$A18,Registre!$O$7:$O$46)</f>
        <v>150000</v>
      </c>
    </row>
    <row r="19" customFormat="false" ht="15" hidden="false" customHeight="false" outlineLevel="0" collapsed="false">
      <c r="A19" s="13" t="str">
        <f aca="false">Paramètres!A23</f>
        <v>Autre (à préciser)</v>
      </c>
      <c r="B19" s="23" t="n">
        <f aca="false">SUMIF(Registre!$D$7:$D$46,$A19,Registre!$G$7:$G$46)</f>
        <v>0</v>
      </c>
      <c r="C19" s="23" t="n">
        <f aca="false">SUMIF(Registre!$D$7:$D$46,$A19,Registre!$K$7:$K$46)</f>
        <v>0</v>
      </c>
      <c r="D19" s="23" t="n">
        <f aca="false">SUMIF(Registre!$D$7:$D$46,$A19,Registre!$L$7:$L$46)</f>
        <v>0</v>
      </c>
      <c r="E19" s="23" t="n">
        <f aca="false">SUMIF(Registre!$D$7:$D$46,$A19,Registre!$O$7:$O$46)</f>
        <v>0</v>
      </c>
    </row>
    <row r="20" customFormat="false" ht="15" hidden="false" customHeight="false" outlineLevel="0" collapsed="false">
      <c r="A20" s="20" t="s">
        <v>118</v>
      </c>
      <c r="B20" s="24" t="n">
        <f aca="false">SUM(B7:B19)</f>
        <v>652000</v>
      </c>
      <c r="C20" s="24" t="n">
        <f aca="false">SUM(C7:C19)</f>
        <v>16690</v>
      </c>
      <c r="D20" s="24" t="n">
        <f aca="false">SUM(D7:D19)</f>
        <v>25910</v>
      </c>
      <c r="E20" s="24" t="n">
        <f aca="false">SUM(E7:E19)</f>
        <v>626090</v>
      </c>
    </row>
    <row r="22" customFormat="false" ht="30" hidden="false" customHeight="true" outlineLevel="0" collapsed="false">
      <c r="A22" s="12" t="s">
        <v>119</v>
      </c>
      <c r="B22" s="12" t="s">
        <v>120</v>
      </c>
      <c r="C22" s="12" t="s">
        <v>121</v>
      </c>
      <c r="D22" s="12" t="s">
        <v>122</v>
      </c>
      <c r="E22" s="12"/>
    </row>
    <row r="23" customFormat="false" ht="15" hidden="false" customHeight="false" outlineLevel="0" collapsed="false">
      <c r="A23" s="13" t="s">
        <v>123</v>
      </c>
      <c r="B23" s="18" t="n">
        <f aca="false">C20</f>
        <v>16690</v>
      </c>
      <c r="C23" s="13" t="s">
        <v>124</v>
      </c>
      <c r="D23" s="13" t="s">
        <v>125</v>
      </c>
    </row>
    <row r="24" customFormat="false" ht="23.85" hidden="false" customHeight="false" outlineLevel="0" collapsed="false">
      <c r="A24" s="13" t="s">
        <v>126</v>
      </c>
      <c r="B24" s="18" t="n">
        <f aca="false">Registre!M47</f>
        <v>0</v>
      </c>
      <c r="C24" s="13" t="s">
        <v>127</v>
      </c>
      <c r="D24" s="13" t="s">
        <v>128</v>
      </c>
    </row>
    <row r="26" customFormat="false" ht="30" hidden="false" customHeight="true" outlineLevel="0" collapsed="false">
      <c r="A26" s="12" t="s">
        <v>129</v>
      </c>
      <c r="B26" s="12" t="s">
        <v>120</v>
      </c>
      <c r="C26" s="12"/>
      <c r="D26" s="12"/>
      <c r="E26" s="12"/>
    </row>
    <row r="27" customFormat="false" ht="15" hidden="false" customHeight="false" outlineLevel="0" collapsed="false">
      <c r="A27" s="9" t="s">
        <v>130</v>
      </c>
      <c r="B27" s="16" t="n">
        <v>0</v>
      </c>
    </row>
    <row r="28" customFormat="false" ht="23.85" hidden="false" customHeight="false" outlineLevel="0" collapsed="false">
      <c r="A28" s="13" t="s">
        <v>131</v>
      </c>
      <c r="B28" s="18" t="n">
        <f aca="false">C20</f>
        <v>16690</v>
      </c>
    </row>
    <row r="29" customFormat="false" ht="26.85" hidden="false" customHeight="false" outlineLevel="0" collapsed="false">
      <c r="A29" s="20" t="s">
        <v>132</v>
      </c>
      <c r="B29" s="21" t="n">
        <f aca="false">B27+B28</f>
        <v>16690</v>
      </c>
    </row>
    <row r="30" customFormat="false" ht="15" hidden="false" customHeight="false" outlineLevel="0" collapsed="false">
      <c r="A30" s="4" t="s">
        <v>133</v>
      </c>
    </row>
    <row r="32" customFormat="false" ht="15" hidden="false" customHeight="false" outlineLevel="0" collapsed="false">
      <c r="A32" s="20" t="s">
        <v>134</v>
      </c>
    </row>
    <row r="33" customFormat="false" ht="15" hidden="false" customHeight="false" outlineLevel="0" collapsed="false">
      <c r="A33" s="13" t="s">
        <v>135</v>
      </c>
      <c r="B33" s="9" t="str">
        <f aca="false">IF(C7=0,"OK","Anomalie : un terrain ne s’amortit pas")</f>
        <v>OK</v>
      </c>
      <c r="C33" s="9"/>
      <c r="D33" s="9"/>
      <c r="E33" s="9"/>
    </row>
    <row r="34" customFormat="false" ht="15" hidden="false" customHeight="false" outlineLevel="0" collapsed="false">
      <c r="A34" s="13" t="s">
        <v>136</v>
      </c>
      <c r="B34" s="9" t="str">
        <f aca="false">IF(COUNTIFS(Registre!G7:G46,"&lt;&gt;",Registre!F7:F46,"")=0,"OK","Compléter la date de mise en service")</f>
        <v>OK</v>
      </c>
      <c r="C34" s="9"/>
      <c r="D34" s="9"/>
      <c r="E34" s="9"/>
    </row>
    <row r="38" customFormat="false" ht="15" hidden="false" customHeight="false" outlineLevel="0" collapsed="false">
      <c r="A38" s="7" t="s">
        <v>26</v>
      </c>
    </row>
    <row r="39" customFormat="false" ht="15" hidden="false" customHeight="false" outlineLevel="0" collapsed="false">
      <c r="A39" s="8" t="s">
        <v>27</v>
      </c>
    </row>
  </sheetData>
  <mergeCells count="2">
    <mergeCell ref="B33:E33"/>
    <mergeCell ref="B34:E34"/>
  </mergeCells>
  <printOptions headings="false" gridLines="false" gridLinesSet="true" horizontalCentered="false" verticalCentered="false"/>
  <pageMargins left="0.75" right="0.75" top="1" bottom="1" header="0.511811023622047" footer="0.5"/>
  <pageSetup paperSize="1" scale="100" fitToWidth="1" fitToHeight="0" pageOrder="downThenOver" orientation="landscape" blackAndWhite="false" draft="false" cellComments="none" horizontalDpi="300" verticalDpi="300" copies="1"/>
  <headerFooter differentFirst="false" differentOddEven="false">
    <oddHeader/>
    <oddFooter>&amp;CSamuel PETE — Mon Asso Cultuelle — E06 — monassocultuelle.com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2026-10-01T17:40:56Z</dcterms:created>
  <dc:creator>openpyxl</dc:creator>
  <dc:description/>
  <dc:language>en-US</dc:language>
  <cp:lastModifiedBy/>
  <dcterms:modified xsi:type="dcterms:W3CDTF">2026-10-01T17:40:56Z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